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9040" windowHeight="15720" firstSheet="1" activeTab="2"/>
  </bookViews>
  <sheets>
    <sheet name="CAGED" sheetId="1" r:id="rId1"/>
    <sheet name="Encargos" sheetId="2" r:id="rId2"/>
    <sheet name="Mão de obra" sheetId="3" r:id="rId3"/>
    <sheet name="Remuneração de capital" sheetId="4" r:id="rId4"/>
    <sheet name="Impostos e manutenção" sheetId="5" r:id="rId5"/>
    <sheet name="BDI" sheetId="6" r:id="rId6"/>
    <sheet name="Composição de custos" sheetId="7" r:id="rId7"/>
    <sheet name="Informações Complementares" sheetId="9" r:id="rId8"/>
  </sheets>
  <calcPr calcId="124519"/>
  <customWorkbookViews>
    <customWorkbookView name="Etiane - Modo de exibição pessoal" guid="{89CA7707-C461-45FC-BB82-EE1A90F4B3E3}" mergeInterval="0" personalView="1" maximized="1" windowWidth="1362" windowHeight="463" activeSheetId="1" showComments="commIndAndComment"/>
  </customWorkbookViews>
</workbook>
</file>

<file path=xl/calcChain.xml><?xml version="1.0" encoding="utf-8"?>
<calcChain xmlns="http://schemas.openxmlformats.org/spreadsheetml/2006/main">
  <c r="D33" i="5"/>
  <c r="B17"/>
  <c r="D23" i="3" l="1"/>
  <c r="F51" i="5"/>
  <c r="D11"/>
  <c r="D6" i="9"/>
  <c r="D8" i="3" l="1"/>
  <c r="D9"/>
  <c r="D24" i="5" l="1"/>
  <c r="D25" s="1"/>
  <c r="B19" l="1"/>
  <c r="B18" i="7" s="1"/>
  <c r="C25" i="5"/>
  <c r="E25" s="1"/>
  <c r="C23" i="3"/>
  <c r="C27" i="5" l="1"/>
  <c r="C43"/>
  <c r="C33"/>
  <c r="E23" i="3" l="1"/>
  <c r="C19" i="1" l="1"/>
  <c r="C21" s="1"/>
  <c r="C27" s="1"/>
  <c r="C17" l="1"/>
  <c r="C22" l="1"/>
  <c r="C20" l="1"/>
  <c r="E39" i="5" l="1"/>
  <c r="E47" l="1"/>
  <c r="D48" s="1"/>
  <c r="E48" s="1"/>
  <c r="C49" l="1"/>
  <c r="E49" s="1"/>
  <c r="D50" s="1"/>
  <c r="E50" s="1"/>
  <c r="E11" l="1"/>
  <c r="E10"/>
  <c r="E9"/>
  <c r="C21" i="2" l="1"/>
  <c r="C4" i="4" l="1"/>
  <c r="C5" l="1"/>
  <c r="C14"/>
  <c r="C7" l="1"/>
  <c r="C28" s="1"/>
  <c r="C27" l="1"/>
  <c r="D12" l="1"/>
  <c r="D25"/>
  <c r="E17" i="3" l="1"/>
  <c r="E25" i="4" l="1"/>
  <c r="C13"/>
  <c r="C16" s="1"/>
  <c r="E12"/>
  <c r="D15" l="1"/>
  <c r="E15" s="1"/>
  <c r="D16" s="1"/>
  <c r="E16" s="1"/>
  <c r="E17" s="1"/>
  <c r="D18" l="1"/>
  <c r="E18" s="1"/>
  <c r="C6" i="6" l="1"/>
  <c r="B1" i="5"/>
  <c r="C8"/>
  <c r="E8" s="1"/>
  <c r="C7"/>
  <c r="E7" s="1"/>
  <c r="C6"/>
  <c r="E6" s="1"/>
  <c r="D42"/>
  <c r="E42" s="1"/>
  <c r="D43" s="1"/>
  <c r="D23"/>
  <c r="C23"/>
  <c r="C8" i="4"/>
  <c r="C10" i="6" l="1"/>
  <c r="C18" s="1"/>
  <c r="D26" i="5"/>
  <c r="D27" s="1"/>
  <c r="E33"/>
  <c r="F34" s="1"/>
  <c r="E43"/>
  <c r="F44" s="1"/>
  <c r="E13"/>
  <c r="F8" s="1"/>
  <c r="E51"/>
  <c r="D12"/>
  <c r="E12" s="1"/>
  <c r="E32" i="4"/>
  <c r="E19"/>
  <c r="F19" s="1"/>
  <c r="B7" i="7" s="1"/>
  <c r="E23" i="5"/>
  <c r="B13" i="7" l="1"/>
  <c r="F13" i="5"/>
  <c r="B9" i="7" s="1"/>
  <c r="F11" i="5"/>
  <c r="F9"/>
  <c r="F6"/>
  <c r="F7"/>
  <c r="F10"/>
  <c r="E27"/>
  <c r="F29" s="1"/>
  <c r="D28"/>
  <c r="B11" i="7"/>
  <c r="D29" i="4"/>
  <c r="E29" s="1"/>
  <c r="E30" s="1"/>
  <c r="D31" s="1"/>
  <c r="E31" s="1"/>
  <c r="F32" s="1"/>
  <c r="B8" i="7" s="1"/>
  <c r="E24" i="3"/>
  <c r="B12" i="7" l="1"/>
  <c r="F53" i="5"/>
  <c r="B10" i="7"/>
  <c r="D12" i="3"/>
  <c r="E12" s="1"/>
  <c r="E9"/>
  <c r="E8"/>
  <c r="E6"/>
  <c r="B6" i="7" l="1"/>
  <c r="D10" i="3"/>
  <c r="E10" s="1"/>
  <c r="E13" s="1"/>
  <c r="F24"/>
  <c r="B5" i="7" s="1"/>
  <c r="D14" i="3" l="1"/>
  <c r="C14" i="2" l="1"/>
  <c r="C11" l="1"/>
  <c r="C25" l="1"/>
  <c r="C24"/>
  <c r="C29" l="1"/>
  <c r="C22"/>
  <c r="C13" l="1"/>
  <c r="C19" s="1"/>
  <c r="C28" s="1"/>
  <c r="C30" s="1"/>
  <c r="C23"/>
  <c r="C26" s="1"/>
  <c r="C31" l="1"/>
  <c r="C14" i="3" s="1"/>
  <c r="E14" s="1"/>
  <c r="E15" s="1"/>
  <c r="D16" s="1"/>
  <c r="E16" s="1"/>
  <c r="F17" l="1"/>
  <c r="F27" s="1"/>
  <c r="B4" i="7" l="1"/>
  <c r="B3" s="1"/>
  <c r="F14" i="6"/>
  <c r="D18" s="1"/>
  <c r="E18" s="1"/>
  <c r="F19" s="1"/>
  <c r="F21" s="1"/>
  <c r="B14" i="7" s="1"/>
  <c r="B15" l="1"/>
  <c r="C19" s="1"/>
  <c r="C4" l="1"/>
  <c r="C8"/>
  <c r="C14"/>
  <c r="C6"/>
  <c r="C7"/>
  <c r="C11"/>
  <c r="C3"/>
  <c r="C5"/>
  <c r="C9"/>
  <c r="C12"/>
  <c r="C10"/>
  <c r="C13"/>
  <c r="C15" l="1"/>
</calcChain>
</file>

<file path=xl/sharedStrings.xml><?xml version="1.0" encoding="utf-8"?>
<sst xmlns="http://schemas.openxmlformats.org/spreadsheetml/2006/main" count="429" uniqueCount="310">
  <si>
    <t>unidade</t>
  </si>
  <si>
    <t>R$</t>
  </si>
  <si>
    <t>anos</t>
  </si>
  <si>
    <t>km/l</t>
  </si>
  <si>
    <t>km</t>
  </si>
  <si>
    <t>Admissões</t>
  </si>
  <si>
    <t>Desligamentos</t>
  </si>
  <si>
    <t>Dispensados com justa causa</t>
  </si>
  <si>
    <t>Dispensados sem justa causa</t>
  </si>
  <si>
    <t>Espontâneos</t>
  </si>
  <si>
    <t>Fim de contrato por prazo determinado</t>
  </si>
  <si>
    <t>Término de contrato</t>
  </si>
  <si>
    <t>Aposentados</t>
  </si>
  <si>
    <t>Mortos</t>
  </si>
  <si>
    <t>Transferência de saída</t>
  </si>
  <si>
    <t>Acordo</t>
  </si>
  <si>
    <t>Indicadores</t>
  </si>
  <si>
    <t>Estoque Médio</t>
  </si>
  <si>
    <t>% Demitidos s/ Justa Causa em relação ao Estoque Médio</t>
  </si>
  <si>
    <t>Taxa de Rotatividade</t>
  </si>
  <si>
    <t>Rotatividade temporal (meses)</t>
  </si>
  <si>
    <t>Dias ano</t>
  </si>
  <si>
    <t>1/3 de férias (dias)</t>
  </si>
  <si>
    <t>Férias (dias)</t>
  </si>
  <si>
    <t>13º Salário (dias)</t>
  </si>
  <si>
    <t>Dias de Aviso prévio</t>
  </si>
  <si>
    <t>FGTS</t>
  </si>
  <si>
    <t>Multa FGTS</t>
  </si>
  <si>
    <t xml:space="preserve">2. Composição dos Encargos Sociais </t>
  </si>
  <si>
    <t>Código</t>
  </si>
  <si>
    <t>Descrição</t>
  </si>
  <si>
    <t>Valor</t>
  </si>
  <si>
    <t>A1</t>
  </si>
  <si>
    <t>INSS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</si>
  <si>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</si>
  <si>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</si>
  <si>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</si>
  <si>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</si>
  <si>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</si>
  <si>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</si>
  <si>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</si>
  <si>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</si>
  <si>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</si>
  <si>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</si>
  <si>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</si>
  <si>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</si>
  <si>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</si>
  <si>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A</t>
  </si>
  <si>
    <t>SOMA GRUPO A</t>
  </si>
  <si>
    <t>B1</t>
  </si>
  <si>
    <t>Férias gozadas</t>
  </si>
  <si>
    <t>B2</t>
  </si>
  <si>
    <t>13º salário</t>
  </si>
  <si>
    <t>B3</t>
  </si>
  <si>
    <t>Licença Paternidade</t>
  </si>
  <si>
    <t>B4</t>
  </si>
  <si>
    <t>Faltas justificadas</t>
  </si>
  <si>
    <t>B5</t>
  </si>
  <si>
    <t>Auxilio acidente de trabalho</t>
  </si>
  <si>
    <t>B6</t>
  </si>
  <si>
    <t>Auxilio doença</t>
  </si>
  <si>
    <t>B</t>
  </si>
  <si>
    <t>SOMA GRUPO B</t>
  </si>
  <si>
    <t>C1</t>
  </si>
  <si>
    <t>Aviso prévio indenizado</t>
  </si>
  <si>
    <t>C2</t>
  </si>
  <si>
    <t xml:space="preserve">Férias indenizadas </t>
  </si>
  <si>
    <t>C3</t>
  </si>
  <si>
    <t>Férias indenizadas s/ aviso previo inden.</t>
  </si>
  <si>
    <t>C4</t>
  </si>
  <si>
    <t>Depósito rescisão sem justa causa</t>
  </si>
  <si>
    <t>C5</t>
  </si>
  <si>
    <t>Indenização adicional</t>
  </si>
  <si>
    <t>C</t>
  </si>
  <si>
    <t>SOMA GRUPO C</t>
  </si>
  <si>
    <t>D1</t>
  </si>
  <si>
    <t>Reincidência de Grupo A sobre Grupo B</t>
  </si>
  <si>
    <t>D2</t>
  </si>
  <si>
    <t>Reincidência de FGTS sobre aviso prévio indenizado</t>
  </si>
  <si>
    <t>D</t>
  </si>
  <si>
    <t>SOMA GRUPO D</t>
  </si>
  <si>
    <t>SOMA (A+B+C+D)</t>
  </si>
  <si>
    <t>1. Mão-de-obra</t>
  </si>
  <si>
    <t>Discriminação</t>
  </si>
  <si>
    <t>Unidade</t>
  </si>
  <si>
    <t>Quantidade</t>
  </si>
  <si>
    <t>Custo unitário</t>
  </si>
  <si>
    <t>Subtotal</t>
  </si>
  <si>
    <t>mês</t>
  </si>
  <si>
    <t>Horas Extras (100%)</t>
  </si>
  <si>
    <t>hora</t>
  </si>
  <si>
    <t>Horas Extras (50%)</t>
  </si>
  <si>
    <t>Descanso Semanal Remunerado (DSR) - hora extra</t>
  </si>
  <si>
    <t>Adicional de Insalubridade</t>
  </si>
  <si>
    <t>%</t>
  </si>
  <si>
    <t>Soma</t>
  </si>
  <si>
    <t>Encargos Sociais</t>
  </si>
  <si>
    <t>Total do Efetivo</t>
  </si>
  <si>
    <t>homem</t>
  </si>
  <si>
    <t>Fator de utilização</t>
  </si>
  <si>
    <t>Piso da categoria (2)</t>
  </si>
  <si>
    <t>Salário mínimo nacional (1)</t>
  </si>
  <si>
    <t>Base de cálculo da Insalubridade</t>
  </si>
  <si>
    <t>Total por Motorista</t>
  </si>
  <si>
    <t>Motorista</t>
  </si>
  <si>
    <t>Fator de utilização (FU)</t>
  </si>
  <si>
    <t>Custo do chassis</t>
  </si>
  <si>
    <t>Remuneração mensal de capital do chassis</t>
  </si>
  <si>
    <t>Total por veículo</t>
  </si>
  <si>
    <t>Total da frota</t>
  </si>
  <si>
    <t>*valor do veículo proposto (para veículos usados) devem considerar o valor do bem depreciado até a data da proposta.</t>
  </si>
  <si>
    <t>Valor do veículo proposto (V0)*</t>
  </si>
  <si>
    <t>Vida útil estimada</t>
  </si>
  <si>
    <t>Valor residual</t>
  </si>
  <si>
    <t>% de depreciação</t>
  </si>
  <si>
    <t>Depreciação acumulada</t>
  </si>
  <si>
    <t>Vida útil utilizada (idade do veículo)</t>
  </si>
  <si>
    <t>Dados de Depreciação</t>
  </si>
  <si>
    <t>Investimento médio</t>
  </si>
  <si>
    <t>IPVA</t>
  </si>
  <si>
    <t>Licenciamento e Seguro obrigatório</t>
  </si>
  <si>
    <t>Seguro contra terceiros</t>
  </si>
  <si>
    <t>Impostos e seguros mensais</t>
  </si>
  <si>
    <t>Consumo</t>
  </si>
  <si>
    <t>Custo mensal com óleo diesel</t>
  </si>
  <si>
    <t>Custo mensal com óleo do motor</t>
  </si>
  <si>
    <t>Custo com consumos/km rodado</t>
  </si>
  <si>
    <t>R$/km rodado</t>
  </si>
  <si>
    <t>km/jogo</t>
  </si>
  <si>
    <t>Custo de manutenção</t>
  </si>
  <si>
    <t>Administração Central</t>
  </si>
  <si>
    <t>AC</t>
  </si>
  <si>
    <t>Seguros/Riscos/Garantias</t>
  </si>
  <si>
    <t>SRG</t>
  </si>
  <si>
    <t>Lucro</t>
  </si>
  <si>
    <t>L</t>
  </si>
  <si>
    <t>Despesas Financeiras</t>
  </si>
  <si>
    <t>DF</t>
  </si>
  <si>
    <t>i</t>
  </si>
  <si>
    <t>T</t>
  </si>
  <si>
    <t>DU</t>
  </si>
  <si>
    <t>Fórmula para o cálculo do BDI:</t>
  </si>
  <si>
    <t>{[(1+AC+SRG) x (1+L) x (1+DF)] / (1-T)} -1</t>
  </si>
  <si>
    <t>Resultado do cálculo do BDI:</t>
  </si>
  <si>
    <t>Custo (R$/mês)</t>
  </si>
  <si>
    <t>Idade do veículo</t>
  </si>
  <si>
    <t>Depreciação do chassis</t>
  </si>
  <si>
    <t>Vida útil</t>
  </si>
  <si>
    <t>Custo de aquisição (valor inicial)</t>
  </si>
  <si>
    <t>R$/mês</t>
  </si>
  <si>
    <t>CUSTO TOTAL MÃO-DE-OBRA</t>
  </si>
  <si>
    <t>CUSTO TOTAL DE IMPOSTOS E MANUTENÇÃO</t>
  </si>
  <si>
    <t>CUSTO TOTAL MENSAL COM DESPESAS OPERACIONAIS</t>
  </si>
  <si>
    <t>Benefícios e despesas indiretas</t>
  </si>
  <si>
    <t>CUSTO MENSAL COM BDI (R$/mês)</t>
  </si>
  <si>
    <t>Rio Grande do Sul  - Transporte Escolar - CNAE 49248</t>
  </si>
  <si>
    <t>Depreciação mensal veículos</t>
  </si>
  <si>
    <t>1.1. Motorista dia</t>
  </si>
  <si>
    <t>1.5. Auxílio alimentção (mensal)</t>
  </si>
  <si>
    <t>2. Veículos</t>
  </si>
  <si>
    <t>2.1. Depreciação</t>
  </si>
  <si>
    <t>2.2. Remuneração de capital</t>
  </si>
  <si>
    <t>2.3. Impostos e seguros</t>
  </si>
  <si>
    <t>2.4. Consumos</t>
  </si>
  <si>
    <t>2.5. Manutenção</t>
  </si>
  <si>
    <t>2.6. Pneus</t>
  </si>
  <si>
    <t>3. BDI</t>
  </si>
  <si>
    <t>PREÇO TOTAL MENSAL (1+2+3)</t>
  </si>
  <si>
    <t>1. CAGED</t>
  </si>
  <si>
    <t>3. Composição da mão-de-obra</t>
  </si>
  <si>
    <t>3.1. Motorista Turno do Dia</t>
  </si>
  <si>
    <t>5. Impostos e manutenção</t>
  </si>
  <si>
    <t>5.1. Impostos e Seguros</t>
  </si>
  <si>
    <t>5.2. Consumos</t>
  </si>
  <si>
    <t>5.3. Manutenção preventiva e corretiva</t>
  </si>
  <si>
    <t>5.4. Pneus</t>
  </si>
  <si>
    <t>6. Composição do BDI - Benefícios e Despesas Indiretas</t>
  </si>
  <si>
    <t>6.1. Benefícios e Despesas Indiretas - BDI</t>
  </si>
  <si>
    <t>7. Transporte Escolar - Planilha de composição de custos</t>
  </si>
  <si>
    <t>4. Depreciação e Remuneração de Capital</t>
  </si>
  <si>
    <t>4.1. Depreciação</t>
  </si>
  <si>
    <t>4.2. Remuneração do Capital</t>
  </si>
  <si>
    <t>PREÇO POR KM RODADO</t>
  </si>
  <si>
    <t xml:space="preserve">Quilometragem total </t>
  </si>
  <si>
    <t>Custo de Lubrificantes (consumo equivalente em combustível)</t>
  </si>
  <si>
    <t>l/km</t>
  </si>
  <si>
    <t>Valor inicial do veículo</t>
  </si>
  <si>
    <t>Estoque recuperado início do Período 01-01-2020</t>
  </si>
  <si>
    <t>Estoque recuperado final do Período 31-12-2019</t>
  </si>
  <si>
    <t>Variação Emprego Absoluta de 01-01-2019 a 31-12-2019</t>
  </si>
  <si>
    <t>Aferição do tacografo</t>
  </si>
  <si>
    <t>Laudo mecanico</t>
  </si>
  <si>
    <t>5.5 Monitoramento</t>
  </si>
  <si>
    <t>Implantação dos equipamentos de monitoramento</t>
  </si>
  <si>
    <t>cj</t>
  </si>
  <si>
    <t>Custo mensal com implantação</t>
  </si>
  <si>
    <t>Manutenção dos equipamentos de monitoramento</t>
  </si>
  <si>
    <t>Custo mensal com manutenção</t>
  </si>
  <si>
    <t>2.7. Monitoramento</t>
  </si>
  <si>
    <t xml:space="preserve"> </t>
  </si>
  <si>
    <t>Pneus</t>
  </si>
  <si>
    <t xml:space="preserve">    Vida Util GEIPOT</t>
  </si>
  <si>
    <t>* Isento se veiculo for exclusivo p/T.Escolar</t>
  </si>
  <si>
    <t>Autorização Transporte Escolar - Tx detran (7285)</t>
  </si>
  <si>
    <t>Tabela GEIPOT 4.2 Lubrificantes</t>
  </si>
  <si>
    <t>Custo mensal com pneus</t>
  </si>
  <si>
    <t>3.2. Auxílio Alimentação (mensal)</t>
  </si>
  <si>
    <t>Fonte: http://bi.mte.gov.br/cagedestabelecimento/pages/consulta.xhtml#</t>
  </si>
  <si>
    <t xml:space="preserve">       convenção coletiva trabalho SINTEPA/SINDIRODOSUL </t>
  </si>
  <si>
    <t>Fonte: https://sindirodosul.org.br/convencoes/</t>
  </si>
  <si>
    <r>
      <t xml:space="preserve">Total </t>
    </r>
    <r>
      <rPr>
        <b/>
        <u/>
        <sz val="9"/>
        <rFont val="Calibri"/>
        <family val="2"/>
        <scheme val="minor"/>
      </rPr>
      <t>(R$)</t>
    </r>
  </si>
  <si>
    <r>
      <t xml:space="preserve">Total </t>
    </r>
    <r>
      <rPr>
        <b/>
        <u/>
        <sz val="11"/>
        <rFont val="Calibri"/>
        <family val="2"/>
        <scheme val="minor"/>
      </rPr>
      <t>(R$)</t>
    </r>
  </si>
  <si>
    <t xml:space="preserve">      https://www.bcb.gov.br/controleinflacao/historicotaxasjuros</t>
  </si>
  <si>
    <r>
      <t>Taxa de juros anual nominal (</t>
    </r>
    <r>
      <rPr>
        <b/>
        <sz val="10"/>
        <rFont val="Calibri"/>
        <family val="2"/>
        <scheme val="minor"/>
      </rPr>
      <t>Taxa SELIC</t>
    </r>
    <r>
      <rPr>
        <sz val="10"/>
        <rFont val="Calibri"/>
        <family val="2"/>
        <scheme val="minor"/>
      </rPr>
      <t>)</t>
    </r>
  </si>
  <si>
    <r>
      <t xml:space="preserve">Custo jg. compl. + </t>
    </r>
    <r>
      <rPr>
        <sz val="11"/>
        <color indexed="10"/>
        <rFont val="Calibri"/>
        <family val="2"/>
        <scheme val="minor"/>
      </rPr>
      <t>X</t>
    </r>
    <r>
      <rPr>
        <sz val="11"/>
        <rFont val="Calibri"/>
        <family val="2"/>
        <scheme val="minor"/>
      </rPr>
      <t xml:space="preserve"> recap./ km rodado</t>
    </r>
  </si>
  <si>
    <t xml:space="preserve">      http://stdetranrs.rs.gov.br/conteudo/55325/043</t>
  </si>
  <si>
    <t xml:space="preserve">       https://cronotacografo.rbmlq.gov.br/duvida_frequentes</t>
  </si>
  <si>
    <t xml:space="preserve">     Custo obtido junto a empresa PDRCAR em 03/05/2021</t>
  </si>
  <si>
    <t>8. Informações Complementares</t>
  </si>
  <si>
    <t>DADOS</t>
  </si>
  <si>
    <t>1 mês = 30 dias</t>
  </si>
  <si>
    <t>1 ano =</t>
  </si>
  <si>
    <t>360 dias ou 12 meses =</t>
  </si>
  <si>
    <t>Perídodo Temporal:</t>
  </si>
  <si>
    <t>Dias Letivos:</t>
  </si>
  <si>
    <t>20 dias</t>
  </si>
  <si>
    <t>Fator de Utilização (FU):</t>
  </si>
  <si>
    <t>MÃO DE OBRA</t>
  </si>
  <si>
    <t>Salário Motorista:</t>
  </si>
  <si>
    <t>Vale Refeição:</t>
  </si>
  <si>
    <t>por dia</t>
  </si>
  <si>
    <t>VEICULO</t>
  </si>
  <si>
    <t>Van/Micro Onibus</t>
  </si>
  <si>
    <t>Passageiros</t>
  </si>
  <si>
    <t>Onibus</t>
  </si>
  <si>
    <t>Veiculos Leves</t>
  </si>
  <si>
    <t>Veiculos Pesados</t>
  </si>
  <si>
    <t>TABELA GEIPOT</t>
  </si>
  <si>
    <t>Capacidade</t>
  </si>
  <si>
    <t>Vida Útil Estimada</t>
  </si>
  <si>
    <r>
      <rPr>
        <sz val="11"/>
        <rFont val="Calibri"/>
        <family val="2"/>
        <scheme val="minor"/>
      </rPr>
      <t>Fonte:</t>
    </r>
    <r>
      <rPr>
        <u/>
        <sz val="11"/>
        <color rgb="FF7030A0"/>
        <rFont val="Calibri"/>
        <family val="2"/>
        <scheme val="minor"/>
      </rPr>
      <t xml:space="preserve"> https://sindirodosul.org.br/convencoes/</t>
    </r>
  </si>
  <si>
    <t>Idade do Veiculo</t>
  </si>
  <si>
    <t>Taxa de Depreciação</t>
  </si>
  <si>
    <t>Utilizamos Método Contábil das cotas constantes</t>
  </si>
  <si>
    <t>Licenciamento/Seguro Obrigatório</t>
  </si>
  <si>
    <t>Seguro</t>
  </si>
  <si>
    <t>Autorização Transporte</t>
  </si>
  <si>
    <t>Laudo Mecânico</t>
  </si>
  <si>
    <t>Aferição Tacógrafo</t>
  </si>
  <si>
    <t>Custo Oleo Diesel</t>
  </si>
  <si>
    <t>Manutenção Preventiva</t>
  </si>
  <si>
    <t>TABELA DE CONSUMO MÉDIO SUGERIDO</t>
  </si>
  <si>
    <t>Veiculo</t>
  </si>
  <si>
    <t>Consumo Médio km/l</t>
  </si>
  <si>
    <t>Vias Pavimentadas</t>
  </si>
  <si>
    <t>Vias Não pavimentadas</t>
  </si>
  <si>
    <t>Kombi/Van (12 lugares)</t>
  </si>
  <si>
    <t>Van/Micro Onibus (16 lugares)</t>
  </si>
  <si>
    <t>Van/Micro Onibus (20 lugares)</t>
  </si>
  <si>
    <t>Micro Onibus (25 lugares</t>
  </si>
  <si>
    <t>Onibus (45 lugares)</t>
  </si>
  <si>
    <t>6,0 km/litro</t>
  </si>
  <si>
    <t>6,0 km/Litro</t>
  </si>
  <si>
    <t>3,0 Km/Litro</t>
  </si>
  <si>
    <t>5,0 Km/Litro</t>
  </si>
  <si>
    <t>3,3 Km/Litro</t>
  </si>
  <si>
    <t>2,5 Km/Litro</t>
  </si>
  <si>
    <t>Custo de óleo diesel / km rodado Pavimentada</t>
  </si>
  <si>
    <t>Custo de óleo diesel / km rodado Não pavimentada</t>
  </si>
  <si>
    <t>Quilometragem mensal Pavimentada</t>
  </si>
  <si>
    <t>Quilometragem mensal Não Pavimentada</t>
  </si>
  <si>
    <t>TABELA DE COEFICIENTE DE MANUTENÇÃO - SUGERIDA</t>
  </si>
  <si>
    <t>COEFICIENTE</t>
  </si>
  <si>
    <t>VAN/MICROONIBUS (até 16 passageiros)</t>
  </si>
  <si>
    <t>MICROONIBUS</t>
  </si>
  <si>
    <t>ONIBUS</t>
  </si>
  <si>
    <t xml:space="preserve"> Simples Nacional</t>
  </si>
  <si>
    <t>Valor deverá ser apurado multiplicando-se o percentual o qual a empresa se enquadra no simples nacional sobre o valor total da nota</t>
  </si>
  <si>
    <t>(https://pdrcarrastreadores.com.br)</t>
  </si>
  <si>
    <t>30 horas semanais de 44 horas:</t>
  </si>
  <si>
    <t>Isento para onibus exclusivo Transporte Escolar. Se for utilizado turismo valor da Tabela Detran/RS</t>
  </si>
  <si>
    <t/>
  </si>
  <si>
    <t>https://www.detran.rs.gov.br/com-virada-do-ano-detranrs-comeca-a-gerar-documentos-do-licenciamento-2023</t>
  </si>
  <si>
    <t xml:space="preserve"> Veículos Médios R$ 99,67;  Veículos Pesados R$ 149,49. </t>
  </si>
  <si>
    <t>https://www.detran.rs.gov.br/veiculos/servicos/1308#:~:text=1.,Pesados%20R%24%20149%2C49.</t>
  </si>
  <si>
    <t>Valor contempla apenas coberturas  DAER. Não compreende a cobertura do casco (orçamento empresa Bem Seguros ijuí)</t>
  </si>
  <si>
    <t>Valor fornecido através de contato com a credenciada para inspeçoes veiculares INMETRO de Coronel Barros, empresa COPETTICAR</t>
  </si>
  <si>
    <t>https://www12.senado.leg.br/noticias/materias/2022/12/15/mp-altera-valor-de-taxa-de-fiscalizacao-de-tacografos</t>
  </si>
  <si>
    <t xml:space="preserve"> Valor obtido junto ao site Cronotacógrafo do INMETRO  -&gt; R$ 90,09 + 142,50 + 90,09 = R$ 322,68 (valores máximos)</t>
  </si>
  <si>
    <t xml:space="preserve">Valor obtido em levantamento junto a empresa PDRCAR de Ijui </t>
  </si>
  <si>
    <t>Valor do combustível Oleo Diesel S500 e s10, obtido na placa de preços do Posto Coronel 285 em 25/10/2023 (menor valor)</t>
  </si>
  <si>
    <t>Monitoramento GPS (mês)</t>
  </si>
  <si>
    <t>Valor obtido através da média de preços em consultas telefonicas belenzier santo angelo</t>
  </si>
  <si>
    <t xml:space="preserve">     Custo obtido junto a empresa PDRCAR em 25/10/2023</t>
  </si>
  <si>
    <t>OLEO DIESEL S10</t>
  </si>
  <si>
    <t xml:space="preserve">        Optante REGIME GERAL</t>
  </si>
  <si>
    <t>Observação: Planilha baseada na Tributação - Optante REGIME GERAL</t>
  </si>
  <si>
    <t>Tributos - PIS/COFINS</t>
  </si>
  <si>
    <t>https://placafipe.com/placa/IZY8D53</t>
  </si>
  <si>
    <t xml:space="preserve">Custo PNEU 285/70/19.5 </t>
  </si>
  <si>
    <t>Taxa de Remuneração Capital (Tx Selic) 01/11/2023</t>
  </si>
  <si>
    <t>s500 = 5,69</t>
  </si>
  <si>
    <t>s10 5,79</t>
  </si>
  <si>
    <t xml:space="preserve">Custo de PNEU 285/70/19.5 </t>
  </si>
  <si>
    <t xml:space="preserve">      Valor Seguro cobertura DAER - ORÇAMENTO BEM SEGURO IJUI</t>
  </si>
  <si>
    <t xml:space="preserve">      Valor Obtido COPETTI CAR CORONEL BARROS em 03/01/2024</t>
  </si>
  <si>
    <t xml:space="preserve">   CONSULTA EM MUNICIPIOS DA REGIÃO E MOTORISTA TRANSPOSTE ESCOLAR</t>
  </si>
  <si>
    <t>4,5 Km/Litro</t>
  </si>
  <si>
    <t>163,00 km/dia x 20 dias</t>
  </si>
  <si>
    <t>Veículo Onibus MARCOPOLO VOLARE W-L ON 2020  35p</t>
  </si>
</sst>
</file>

<file path=xl/styles.xml><?xml version="1.0" encoding="utf-8"?>
<styleSheet xmlns="http://schemas.openxmlformats.org/spreadsheetml/2006/main">
  <numFmts count="14">
    <numFmt numFmtId="8" formatCode="&quot;R$&quot;\ #,##0.00;[Red]&quot;R$&quot;\ \-#,##0.00"/>
    <numFmt numFmtId="44" formatCode="_ &quot;R$&quot;\ * #,##0.00_ ;_ &quot;R$&quot;\ * \-#,##0.00_ ;_ &quot;R$&quot;\ * &quot;-&quot;??_ ;_ @_ "/>
    <numFmt numFmtId="43" formatCode="_ * #,##0.00_ ;_ * \-#,##0.00_ ;_ * &quot;-&quot;??_ ;_ @_ "/>
    <numFmt numFmtId="164" formatCode="_-&quot;R$&quot;\ * #,##0.00_-;\-&quot;R$&quot;\ * #,##0.00_-;_-&quot;R$&quot;\ * &quot;-&quot;??_-;_-@_-"/>
    <numFmt numFmtId="165" formatCode="_-* #,##0.00_-;\-* #,##0.00_-;_-* &quot;-&quot;??_-;_-@_-"/>
    <numFmt numFmtId="166" formatCode="_-* #,##0.0000_-;\-* #,##0.0000_-;_-* &quot;-&quot;????_-;_-@_-"/>
    <numFmt numFmtId="167" formatCode="_(* #,##0.00_);_(* \(#,##0.00\);_(* &quot;-&quot;??_);_(@_)"/>
    <numFmt numFmtId="168" formatCode="0.0000"/>
    <numFmt numFmtId="169" formatCode="_(* #,##0_);_(* \(#,##0\);_(* &quot;-&quot;??_);_(@_)"/>
    <numFmt numFmtId="170" formatCode="_(* #,##0.000_);_(* \(#,##0.000\);_(* &quot;-&quot;??_);_(@_)"/>
    <numFmt numFmtId="171" formatCode="#,##0.000"/>
    <numFmt numFmtId="172" formatCode="_-* #,##0.00_-;\-* #,##0.00_-;_-* &quot;-&quot;????_-;_-@_-"/>
    <numFmt numFmtId="173" formatCode="_-* #,##0_-;\-* #,##0_-;_-* &quot;-&quot;??_-;_-@_-"/>
    <numFmt numFmtId="174" formatCode="&quot;R$&quot;\ #,##0.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u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u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sz val="11"/>
      <color indexed="10"/>
      <name val="Calibri"/>
      <family val="2"/>
      <scheme val="minor"/>
    </font>
    <font>
      <i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rgb="FF7030A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4">
    <xf numFmtId="0" fontId="0" fillId="0" borderId="0" xfId="0"/>
    <xf numFmtId="166" fontId="0" fillId="0" borderId="0" xfId="1" applyNumberFormat="1" applyFont="1"/>
    <xf numFmtId="165" fontId="0" fillId="0" borderId="0" xfId="1" applyFont="1" applyAlignment="1">
      <alignment horizontal="center"/>
    </xf>
    <xf numFmtId="165" fontId="2" fillId="0" borderId="1" xfId="1" applyFont="1" applyBorder="1" applyAlignment="1"/>
    <xf numFmtId="165" fontId="0" fillId="0" borderId="1" xfId="1" applyFont="1" applyBorder="1" applyAlignment="1"/>
    <xf numFmtId="0" fontId="2" fillId="3" borderId="31" xfId="0" applyFont="1" applyFill="1" applyBorder="1"/>
    <xf numFmtId="0" fontId="2" fillId="3" borderId="40" xfId="0" applyFont="1" applyFill="1" applyBorder="1"/>
    <xf numFmtId="0" fontId="2" fillId="3" borderId="30" xfId="0" applyFont="1" applyFill="1" applyBorder="1"/>
    <xf numFmtId="167" fontId="2" fillId="3" borderId="30" xfId="0" applyNumberFormat="1" applyFont="1" applyFill="1" applyBorder="1"/>
    <xf numFmtId="9" fontId="2" fillId="0" borderId="30" xfId="0" applyNumberFormat="1" applyFont="1" applyBorder="1"/>
    <xf numFmtId="9" fontId="2" fillId="0" borderId="0" xfId="0" applyNumberFormat="1" applyFont="1"/>
    <xf numFmtId="165" fontId="2" fillId="3" borderId="30" xfId="1" applyFont="1" applyFill="1" applyBorder="1"/>
    <xf numFmtId="0" fontId="2" fillId="0" borderId="20" xfId="0" applyFont="1" applyBorder="1" applyAlignment="1">
      <alignment horizontal="center"/>
    </xf>
    <xf numFmtId="0" fontId="2" fillId="0" borderId="9" xfId="0" applyFont="1" applyBorder="1"/>
    <xf numFmtId="10" fontId="0" fillId="0" borderId="6" xfId="3" applyNumberFormat="1" applyFont="1" applyBorder="1" applyAlignment="1">
      <alignment vertical="center"/>
    </xf>
    <xf numFmtId="10" fontId="2" fillId="0" borderId="6" xfId="3" applyNumberFormat="1" applyFont="1" applyBorder="1" applyAlignment="1">
      <alignment vertical="center"/>
    </xf>
    <xf numFmtId="0" fontId="2" fillId="0" borderId="10" xfId="0" applyFont="1" applyBorder="1"/>
    <xf numFmtId="165" fontId="2" fillId="0" borderId="13" xfId="1" applyFont="1" applyBorder="1" applyAlignment="1"/>
    <xf numFmtId="0" fontId="2" fillId="0" borderId="0" xfId="0" applyFont="1"/>
    <xf numFmtId="0" fontId="6" fillId="0" borderId="0" xfId="0" applyFont="1" applyAlignment="1">
      <alignment horizontal="left"/>
    </xf>
    <xf numFmtId="165" fontId="0" fillId="0" borderId="0" xfId="1" applyFont="1" applyProtection="1"/>
    <xf numFmtId="9" fontId="2" fillId="0" borderId="37" xfId="0" applyNumberFormat="1" applyFont="1" applyBorder="1"/>
    <xf numFmtId="167" fontId="4" fillId="0" borderId="0" xfId="4" applyFont="1" applyAlignment="1" applyProtection="1">
      <alignment horizontal="center" vertical="center"/>
    </xf>
    <xf numFmtId="43" fontId="0" fillId="0" borderId="0" xfId="0" applyNumberFormat="1"/>
    <xf numFmtId="0" fontId="0" fillId="0" borderId="0" xfId="0" applyProtection="1">
      <protection locked="0"/>
    </xf>
    <xf numFmtId="165" fontId="0" fillId="9" borderId="0" xfId="1" applyFont="1" applyFill="1" applyAlignment="1" applyProtection="1">
      <alignment horizontal="center"/>
      <protection locked="0"/>
    </xf>
    <xf numFmtId="0" fontId="0" fillId="10" borderId="0" xfId="0" applyFill="1"/>
    <xf numFmtId="0" fontId="2" fillId="10" borderId="0" xfId="0" applyFont="1" applyFill="1"/>
    <xf numFmtId="165" fontId="0" fillId="10" borderId="0" xfId="1" applyFont="1" applyFill="1" applyAlignment="1">
      <alignment horizontal="center"/>
    </xf>
    <xf numFmtId="44" fontId="7" fillId="10" borderId="30" xfId="6" applyFont="1" applyFill="1" applyBorder="1"/>
    <xf numFmtId="0" fontId="8" fillId="10" borderId="0" xfId="0" applyFont="1" applyFill="1"/>
    <xf numFmtId="0" fontId="9" fillId="10" borderId="0" xfId="0" applyFont="1" applyFill="1"/>
    <xf numFmtId="0" fontId="1" fillId="0" borderId="0" xfId="0" applyFont="1"/>
    <xf numFmtId="0" fontId="11" fillId="0" borderId="0" xfId="0" applyFont="1" applyAlignment="1">
      <alignment vertical="center"/>
    </xf>
    <xf numFmtId="167" fontId="11" fillId="0" borderId="0" xfId="4" applyFont="1" applyAlignment="1" applyProtection="1">
      <alignment vertical="center"/>
    </xf>
    <xf numFmtId="0" fontId="12" fillId="6" borderId="23" xfId="0" applyFont="1" applyFill="1" applyBorder="1" applyAlignment="1">
      <alignment horizontal="center" vertical="center"/>
    </xf>
    <xf numFmtId="0" fontId="12" fillId="6" borderId="24" xfId="0" applyFont="1" applyFill="1" applyBorder="1" applyAlignment="1">
      <alignment horizontal="center" vertical="center"/>
    </xf>
    <xf numFmtId="167" fontId="12" fillId="6" borderId="24" xfId="4" applyFont="1" applyFill="1" applyBorder="1" applyAlignment="1" applyProtection="1">
      <alignment horizontal="center" vertical="center"/>
    </xf>
    <xf numFmtId="167" fontId="12" fillId="6" borderId="25" xfId="4" applyFont="1" applyFill="1" applyBorder="1" applyAlignment="1" applyProtection="1">
      <alignment horizontal="center" vertical="center"/>
    </xf>
    <xf numFmtId="0" fontId="11" fillId="0" borderId="26" xfId="0" applyFont="1" applyBorder="1" applyAlignment="1">
      <alignment vertical="center"/>
    </xf>
    <xf numFmtId="0" fontId="11" fillId="0" borderId="26" xfId="0" applyFont="1" applyBorder="1" applyAlignment="1">
      <alignment horizontal="center" vertical="center"/>
    </xf>
    <xf numFmtId="167" fontId="11" fillId="0" borderId="26" xfId="4" applyFont="1" applyBorder="1" applyAlignment="1" applyProtection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167" fontId="11" fillId="0" borderId="1" xfId="4" applyFont="1" applyBorder="1" applyAlignment="1" applyProtection="1">
      <alignment horizontal="center" vertical="center"/>
    </xf>
    <xf numFmtId="0" fontId="11" fillId="9" borderId="1" xfId="0" applyFont="1" applyFill="1" applyBorder="1" applyAlignment="1" applyProtection="1">
      <alignment horizontal="center" vertical="center"/>
      <protection locked="0"/>
    </xf>
    <xf numFmtId="167" fontId="11" fillId="0" borderId="1" xfId="4" applyFont="1" applyFill="1" applyBorder="1" applyAlignment="1" applyProtection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167" fontId="10" fillId="0" borderId="0" xfId="4" applyFont="1" applyAlignment="1" applyProtection="1">
      <alignment horizontal="center" vertical="center"/>
    </xf>
    <xf numFmtId="167" fontId="10" fillId="0" borderId="1" xfId="4" applyFont="1" applyBorder="1" applyAlignment="1" applyProtection="1">
      <alignment horizontal="center" vertical="center"/>
    </xf>
    <xf numFmtId="167" fontId="11" fillId="0" borderId="0" xfId="4" applyFont="1" applyAlignment="1" applyProtection="1">
      <alignment horizontal="right" vertical="center"/>
    </xf>
    <xf numFmtId="167" fontId="11" fillId="0" borderId="1" xfId="4" applyFont="1" applyBorder="1" applyAlignment="1" applyProtection="1">
      <alignment vertical="center"/>
    </xf>
    <xf numFmtId="0" fontId="1" fillId="3" borderId="40" xfId="0" applyFont="1" applyFill="1" applyBorder="1"/>
    <xf numFmtId="0" fontId="2" fillId="0" borderId="3" xfId="2" applyFont="1" applyBorder="1"/>
    <xf numFmtId="0" fontId="14" fillId="0" borderId="4" xfId="2" applyFont="1" applyBorder="1"/>
    <xf numFmtId="0" fontId="2" fillId="0" borderId="18" xfId="2" applyFont="1" applyBorder="1"/>
    <xf numFmtId="0" fontId="2" fillId="9" borderId="6" xfId="0" applyFont="1" applyFill="1" applyBorder="1" applyAlignment="1" applyProtection="1">
      <alignment horizontal="center"/>
      <protection locked="0"/>
    </xf>
    <xf numFmtId="0" fontId="2" fillId="0" borderId="9" xfId="2" applyFont="1" applyBorder="1"/>
    <xf numFmtId="0" fontId="14" fillId="0" borderId="9" xfId="2" applyFont="1" applyBorder="1"/>
    <xf numFmtId="0" fontId="14" fillId="9" borderId="6" xfId="0" applyFont="1" applyFill="1" applyBorder="1" applyAlignment="1" applyProtection="1">
      <alignment horizontal="center"/>
      <protection locked="0"/>
    </xf>
    <xf numFmtId="0" fontId="14" fillId="0" borderId="18" xfId="2" applyFont="1" applyBorder="1"/>
    <xf numFmtId="0" fontId="14" fillId="9" borderId="19" xfId="0" applyFont="1" applyFill="1" applyBorder="1" applyAlignment="1" applyProtection="1">
      <alignment horizontal="center"/>
      <protection locked="0"/>
    </xf>
    <xf numFmtId="0" fontId="14" fillId="0" borderId="22" xfId="2" applyFont="1" applyBorder="1"/>
    <xf numFmtId="0" fontId="14" fillId="0" borderId="4" xfId="0" applyFont="1" applyBorder="1"/>
    <xf numFmtId="0" fontId="14" fillId="0" borderId="20" xfId="2" applyFont="1" applyBorder="1"/>
    <xf numFmtId="0" fontId="14" fillId="9" borderId="21" xfId="0" applyFont="1" applyFill="1" applyBorder="1" applyAlignment="1" applyProtection="1">
      <alignment horizontal="center"/>
      <protection locked="0"/>
    </xf>
    <xf numFmtId="0" fontId="14" fillId="0" borderId="6" xfId="2" applyFont="1" applyBorder="1" applyAlignment="1">
      <alignment horizontal="center"/>
    </xf>
    <xf numFmtId="0" fontId="14" fillId="0" borderId="15" xfId="2" applyFont="1" applyBorder="1"/>
    <xf numFmtId="0" fontId="14" fillId="0" borderId="16" xfId="2" applyFont="1" applyBorder="1"/>
    <xf numFmtId="0" fontId="15" fillId="0" borderId="19" xfId="2" applyFont="1" applyBorder="1" applyAlignment="1">
      <alignment horizontal="center"/>
    </xf>
    <xf numFmtId="10" fontId="2" fillId="0" borderId="6" xfId="3" applyNumberFormat="1" applyFont="1" applyBorder="1"/>
    <xf numFmtId="168" fontId="15" fillId="0" borderId="6" xfId="2" applyNumberFormat="1" applyFont="1" applyBorder="1"/>
    <xf numFmtId="0" fontId="2" fillId="0" borderId="6" xfId="2" applyFont="1" applyBorder="1" applyAlignment="1">
      <alignment horizontal="center"/>
    </xf>
    <xf numFmtId="0" fontId="2" fillId="0" borderId="19" xfId="2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9" fontId="2" fillId="0" borderId="6" xfId="3" applyFont="1" applyBorder="1"/>
    <xf numFmtId="0" fontId="2" fillId="0" borderId="11" xfId="2" applyFont="1" applyBorder="1"/>
    <xf numFmtId="9" fontId="15" fillId="0" borderId="12" xfId="3" applyFont="1" applyBorder="1"/>
    <xf numFmtId="0" fontId="16" fillId="0" borderId="9" xfId="2" applyFont="1" applyBorder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0" fontId="16" fillId="0" borderId="6" xfId="2" applyFont="1" applyBorder="1" applyAlignment="1">
      <alignment horizontal="center" vertical="center"/>
    </xf>
    <xf numFmtId="0" fontId="17" fillId="0" borderId="9" xfId="2" applyFont="1" applyBorder="1" applyAlignment="1">
      <alignment horizontal="left" vertical="center"/>
    </xf>
    <xf numFmtId="0" fontId="17" fillId="0" borderId="1" xfId="2" applyFont="1" applyBorder="1" applyAlignment="1">
      <alignment horizontal="left" vertical="center"/>
    </xf>
    <xf numFmtId="10" fontId="17" fillId="0" borderId="6" xfId="2" applyNumberFormat="1" applyFont="1" applyBorder="1" applyAlignment="1">
      <alignment horizontal="right" vertical="center"/>
    </xf>
    <xf numFmtId="0" fontId="16" fillId="4" borderId="1" xfId="2" applyFont="1" applyFill="1" applyBorder="1" applyAlignment="1">
      <alignment horizontal="left" vertical="center"/>
    </xf>
    <xf numFmtId="10" fontId="16" fillId="0" borderId="6" xfId="2" applyNumberFormat="1" applyFont="1" applyBorder="1" applyAlignment="1">
      <alignment horizontal="right" vertical="center"/>
    </xf>
    <xf numFmtId="0" fontId="17" fillId="2" borderId="9" xfId="2" applyFont="1" applyFill="1" applyBorder="1" applyAlignment="1">
      <alignment horizontal="left" vertical="center"/>
    </xf>
    <xf numFmtId="0" fontId="16" fillId="2" borderId="1" xfId="2" applyFont="1" applyFill="1" applyBorder="1" applyAlignment="1">
      <alignment horizontal="left" vertical="center"/>
    </xf>
    <xf numFmtId="10" fontId="16" fillId="2" borderId="6" xfId="2" applyNumberFormat="1" applyFont="1" applyFill="1" applyBorder="1" applyAlignment="1">
      <alignment horizontal="right" vertical="center"/>
    </xf>
    <xf numFmtId="0" fontId="1" fillId="0" borderId="1" xfId="2" applyFont="1" applyBorder="1" applyAlignment="1">
      <alignment horizontal="left" vertical="center"/>
    </xf>
    <xf numFmtId="10" fontId="14" fillId="0" borderId="6" xfId="2" applyNumberFormat="1" applyFont="1" applyBorder="1" applyAlignment="1">
      <alignment horizontal="right" vertical="center"/>
    </xf>
    <xf numFmtId="10" fontId="17" fillId="4" borderId="6" xfId="2" applyNumberFormat="1" applyFont="1" applyFill="1" applyBorder="1" applyAlignment="1">
      <alignment horizontal="right" vertical="center"/>
    </xf>
    <xf numFmtId="0" fontId="17" fillId="0" borderId="1" xfId="2" applyFont="1" applyBorder="1" applyAlignment="1">
      <alignment horizontal="left" vertical="center" wrapText="1"/>
    </xf>
    <xf numFmtId="0" fontId="17" fillId="4" borderId="10" xfId="2" applyFont="1" applyFill="1" applyBorder="1" applyAlignment="1">
      <alignment horizontal="left" vertical="center"/>
    </xf>
    <xf numFmtId="0" fontId="16" fillId="4" borderId="13" xfId="2" applyFont="1" applyFill="1" applyBorder="1" applyAlignment="1">
      <alignment horizontal="left" vertical="center"/>
    </xf>
    <xf numFmtId="10" fontId="16" fillId="4" borderId="14" xfId="2" applyNumberFormat="1" applyFont="1" applyFill="1" applyBorder="1" applyAlignment="1">
      <alignment horizontal="right" vertical="center"/>
    </xf>
    <xf numFmtId="0" fontId="1" fillId="10" borderId="0" xfId="0" applyFont="1" applyFill="1"/>
    <xf numFmtId="167" fontId="15" fillId="3" borderId="31" xfId="4" applyFont="1" applyFill="1" applyBorder="1" applyAlignment="1" applyProtection="1">
      <alignment vertical="center"/>
    </xf>
    <xf numFmtId="10" fontId="15" fillId="9" borderId="28" xfId="3" applyNumberFormat="1" applyFont="1" applyFill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167" fontId="14" fillId="0" borderId="0" xfId="4" applyFont="1" applyAlignment="1" applyProtection="1">
      <alignment vertical="center"/>
    </xf>
    <xf numFmtId="0" fontId="15" fillId="6" borderId="23" xfId="0" applyFont="1" applyFill="1" applyBorder="1" applyAlignment="1">
      <alignment horizontal="center" vertical="center"/>
    </xf>
    <xf numFmtId="0" fontId="15" fillId="6" borderId="24" xfId="0" applyFont="1" applyFill="1" applyBorder="1" applyAlignment="1">
      <alignment horizontal="center" vertical="center"/>
    </xf>
    <xf numFmtId="167" fontId="15" fillId="6" borderId="24" xfId="4" applyFont="1" applyFill="1" applyBorder="1" applyAlignment="1" applyProtection="1">
      <alignment horizontal="center" vertical="center"/>
    </xf>
    <xf numFmtId="167" fontId="15" fillId="6" borderId="25" xfId="4" applyFont="1" applyFill="1" applyBorder="1" applyAlignment="1" applyProtection="1">
      <alignment horizontal="center" vertical="center"/>
    </xf>
    <xf numFmtId="0" fontId="14" fillId="0" borderId="26" xfId="0" applyFont="1" applyBorder="1" applyAlignment="1">
      <alignment vertical="center"/>
    </xf>
    <xf numFmtId="0" fontId="14" fillId="0" borderId="26" xfId="0" applyFont="1" applyBorder="1" applyAlignment="1">
      <alignment horizontal="center" vertical="center"/>
    </xf>
    <xf numFmtId="167" fontId="14" fillId="9" borderId="26" xfId="4" applyFont="1" applyFill="1" applyBorder="1" applyAlignment="1" applyProtection="1">
      <alignment horizontal="center" vertical="center"/>
      <protection locked="0"/>
    </xf>
    <xf numFmtId="167" fontId="14" fillId="0" borderId="26" xfId="4" applyFont="1" applyBorder="1" applyAlignment="1" applyProtection="1">
      <alignment horizontal="center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2" fontId="14" fillId="9" borderId="1" xfId="0" applyNumberFormat="1" applyFont="1" applyFill="1" applyBorder="1" applyAlignment="1" applyProtection="1">
      <alignment horizontal="center" vertical="center"/>
      <protection locked="0"/>
    </xf>
    <xf numFmtId="167" fontId="14" fillId="0" borderId="1" xfId="4" applyFont="1" applyBorder="1" applyAlignment="1" applyProtection="1">
      <alignment horizontal="center" vertical="center"/>
    </xf>
    <xf numFmtId="1" fontId="14" fillId="9" borderId="1" xfId="0" applyNumberFormat="1" applyFont="1" applyFill="1" applyBorder="1" applyAlignment="1" applyProtection="1">
      <alignment horizontal="center" vertical="center"/>
      <protection locked="0"/>
    </xf>
    <xf numFmtId="0" fontId="14" fillId="9" borderId="1" xfId="0" applyFont="1" applyFill="1" applyBorder="1" applyAlignment="1" applyProtection="1">
      <alignment horizontal="center" vertical="center"/>
      <protection locked="0"/>
    </xf>
    <xf numFmtId="167" fontId="14" fillId="0" borderId="1" xfId="4" applyFont="1" applyFill="1" applyBorder="1" applyAlignment="1" applyProtection="1">
      <alignment horizontal="center" vertical="center"/>
    </xf>
    <xf numFmtId="0" fontId="15" fillId="0" borderId="1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167" fontId="15" fillId="0" borderId="0" xfId="4" applyFont="1" applyAlignment="1" applyProtection="1">
      <alignment horizontal="center" vertical="center"/>
    </xf>
    <xf numFmtId="167" fontId="15" fillId="0" borderId="1" xfId="4" applyFont="1" applyBorder="1" applyAlignment="1" applyProtection="1">
      <alignment horizontal="center" vertical="center"/>
    </xf>
    <xf numFmtId="167" fontId="15" fillId="0" borderId="0" xfId="4" applyFont="1" applyAlignment="1" applyProtection="1">
      <alignment vertical="center"/>
    </xf>
    <xf numFmtId="167" fontId="14" fillId="7" borderId="1" xfId="4" applyFont="1" applyFill="1" applyBorder="1" applyAlignment="1" applyProtection="1">
      <alignment horizontal="center" vertical="center"/>
    </xf>
    <xf numFmtId="0" fontId="15" fillId="0" borderId="29" xfId="0" applyFont="1" applyBorder="1" applyAlignment="1">
      <alignment horizontal="center" vertical="center"/>
    </xf>
    <xf numFmtId="167" fontId="15" fillId="0" borderId="29" xfId="4" applyFont="1" applyBorder="1" applyAlignment="1" applyProtection="1">
      <alignment horizontal="center" vertical="center"/>
    </xf>
    <xf numFmtId="167" fontId="14" fillId="0" borderId="0" xfId="4" applyFont="1" applyAlignment="1" applyProtection="1">
      <alignment horizontal="right" vertical="center"/>
    </xf>
    <xf numFmtId="167" fontId="14" fillId="0" borderId="1" xfId="4" applyFont="1" applyBorder="1" applyAlignment="1" applyProtection="1">
      <alignment vertical="center"/>
    </xf>
    <xf numFmtId="167" fontId="15" fillId="6" borderId="28" xfId="4" applyFont="1" applyFill="1" applyBorder="1" applyAlignment="1" applyProtection="1">
      <alignment horizontal="center" vertical="center"/>
    </xf>
    <xf numFmtId="167" fontId="15" fillId="0" borderId="0" xfId="4" applyFont="1" applyFill="1" applyBorder="1" applyAlignment="1" applyProtection="1">
      <alignment vertical="center"/>
    </xf>
    <xf numFmtId="0" fontId="15" fillId="6" borderId="44" xfId="0" applyFont="1" applyFill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167" fontId="15" fillId="9" borderId="26" xfId="4" applyFont="1" applyFill="1" applyBorder="1" applyAlignment="1" applyProtection="1">
      <alignment horizontal="center" vertical="center"/>
    </xf>
    <xf numFmtId="167" fontId="15" fillId="0" borderId="26" xfId="4" applyFont="1" applyFill="1" applyBorder="1" applyAlignment="1" applyProtection="1">
      <alignment horizontal="center" vertical="center"/>
    </xf>
    <xf numFmtId="167" fontId="15" fillId="0" borderId="0" xfId="4" applyFont="1" applyFill="1" applyBorder="1" applyAlignment="1" applyProtection="1">
      <alignment horizontal="center" vertical="center"/>
    </xf>
    <xf numFmtId="169" fontId="14" fillId="0" borderId="26" xfId="4" applyNumberFormat="1" applyFont="1" applyFill="1" applyBorder="1" applyAlignment="1" applyProtection="1">
      <alignment vertical="center"/>
    </xf>
    <xf numFmtId="167" fontId="14" fillId="0" borderId="26" xfId="4" applyFont="1" applyBorder="1" applyAlignment="1" applyProtection="1">
      <alignment vertical="center"/>
    </xf>
    <xf numFmtId="167" fontId="15" fillId="6" borderId="30" xfId="4" applyFont="1" applyFill="1" applyBorder="1" applyAlignment="1" applyProtection="1">
      <alignment vertical="center"/>
    </xf>
    <xf numFmtId="0" fontId="16" fillId="10" borderId="0" xfId="2" applyFont="1" applyFill="1" applyAlignment="1">
      <alignment horizontal="left" vertical="center"/>
    </xf>
    <xf numFmtId="0" fontId="2" fillId="10" borderId="0" xfId="2" applyFont="1" applyFill="1"/>
    <xf numFmtId="0" fontId="0" fillId="0" borderId="0" xfId="0" applyAlignment="1">
      <alignment horizontal="center"/>
    </xf>
    <xf numFmtId="4" fontId="0" fillId="9" borderId="0" xfId="0" applyNumberFormat="1" applyFill="1" applyProtection="1">
      <protection locked="0"/>
    </xf>
    <xf numFmtId="4" fontId="0" fillId="0" borderId="0" xfId="0" applyNumberFormat="1"/>
    <xf numFmtId="0" fontId="0" fillId="9" borderId="0" xfId="0" applyFill="1" applyProtection="1">
      <protection locked="0"/>
    </xf>
    <xf numFmtId="167" fontId="10" fillId="0" borderId="35" xfId="4" applyFont="1" applyBorder="1" applyAlignment="1" applyProtection="1">
      <alignment vertical="center"/>
    </xf>
    <xf numFmtId="0" fontId="0" fillId="0" borderId="36" xfId="0" applyBorder="1"/>
    <xf numFmtId="0" fontId="18" fillId="0" borderId="0" xfId="5" applyFont="1" applyAlignment="1" applyProtection="1">
      <alignment horizontal="left" vertical="center"/>
    </xf>
    <xf numFmtId="167" fontId="11" fillId="8" borderId="26" xfId="4" applyFont="1" applyFill="1" applyBorder="1" applyAlignment="1" applyProtection="1">
      <alignment horizontal="center" vertical="center"/>
    </xf>
    <xf numFmtId="3" fontId="11" fillId="8" borderId="1" xfId="0" applyNumberFormat="1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167" fontId="11" fillId="0" borderId="0" xfId="4" applyFont="1" applyAlignment="1" applyProtection="1">
      <alignment horizontal="center" vertical="center"/>
    </xf>
    <xf numFmtId="167" fontId="11" fillId="8" borderId="1" xfId="4" applyFont="1" applyFill="1" applyBorder="1" applyAlignment="1" applyProtection="1">
      <alignment horizontal="center" vertical="center"/>
    </xf>
    <xf numFmtId="0" fontId="10" fillId="0" borderId="34" xfId="0" applyFont="1" applyBorder="1" applyAlignment="1">
      <alignment vertical="center"/>
    </xf>
    <xf numFmtId="0" fontId="10" fillId="0" borderId="34" xfId="0" applyFont="1" applyBorder="1" applyAlignment="1">
      <alignment horizontal="center" vertical="center"/>
    </xf>
    <xf numFmtId="167" fontId="10" fillId="0" borderId="34" xfId="4" applyFont="1" applyBorder="1" applyAlignment="1" applyProtection="1">
      <alignment horizontal="center" vertical="center"/>
    </xf>
    <xf numFmtId="0" fontId="10" fillId="0" borderId="27" xfId="0" applyFont="1" applyBorder="1" applyAlignment="1">
      <alignment vertical="center"/>
    </xf>
    <xf numFmtId="167" fontId="10" fillId="0" borderId="27" xfId="4" applyFont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167" fontId="10" fillId="6" borderId="30" xfId="4" applyFont="1" applyFill="1" applyBorder="1" applyAlignment="1" applyProtection="1">
      <alignment horizontal="center" vertical="center"/>
    </xf>
    <xf numFmtId="9" fontId="0" fillId="0" borderId="0" xfId="0" applyNumberFormat="1"/>
    <xf numFmtId="0" fontId="12" fillId="6" borderId="32" xfId="0" applyFont="1" applyFill="1" applyBorder="1" applyAlignment="1">
      <alignment horizontal="center" vertical="center"/>
    </xf>
    <xf numFmtId="0" fontId="12" fillId="6" borderId="33" xfId="0" applyFont="1" applyFill="1" applyBorder="1" applyAlignment="1">
      <alignment horizontal="center" vertical="center"/>
    </xf>
    <xf numFmtId="167" fontId="12" fillId="6" borderId="33" xfId="4" applyFont="1" applyFill="1" applyBorder="1" applyAlignment="1" applyProtection="1">
      <alignment horizontal="center" vertical="center"/>
    </xf>
    <xf numFmtId="167" fontId="11" fillId="0" borderId="1" xfId="0" applyNumberFormat="1" applyFont="1" applyBorder="1" applyAlignment="1">
      <alignment horizontal="center" vertical="center"/>
    </xf>
    <xf numFmtId="167" fontId="10" fillId="0" borderId="34" xfId="4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center" vertical="center"/>
    </xf>
    <xf numFmtId="167" fontId="11" fillId="10" borderId="0" xfId="4" applyFont="1" applyFill="1" applyAlignment="1" applyProtection="1">
      <alignment horizontal="center" vertical="center"/>
    </xf>
    <xf numFmtId="167" fontId="15" fillId="0" borderId="30" xfId="4" applyFont="1" applyBorder="1" applyAlignment="1">
      <alignment vertical="center"/>
    </xf>
    <xf numFmtId="167" fontId="15" fillId="0" borderId="0" xfId="4" applyFont="1" applyBorder="1" applyAlignment="1">
      <alignment vertical="center"/>
    </xf>
    <xf numFmtId="167" fontId="14" fillId="0" borderId="0" xfId="4" applyFont="1" applyAlignment="1">
      <alignment vertical="center"/>
    </xf>
    <xf numFmtId="167" fontId="15" fillId="6" borderId="24" xfId="4" applyFont="1" applyFill="1" applyBorder="1" applyAlignment="1">
      <alignment horizontal="center" vertical="center"/>
    </xf>
    <xf numFmtId="167" fontId="15" fillId="6" borderId="25" xfId="4" applyFont="1" applyFill="1" applyBorder="1" applyAlignment="1">
      <alignment horizontal="center" vertical="center"/>
    </xf>
    <xf numFmtId="167" fontId="14" fillId="0" borderId="26" xfId="4" applyFont="1" applyBorder="1" applyAlignment="1">
      <alignment horizontal="center" vertical="center"/>
    </xf>
    <xf numFmtId="167" fontId="14" fillId="9" borderId="1" xfId="4" applyFont="1" applyFill="1" applyBorder="1" applyAlignment="1" applyProtection="1">
      <alignment horizontal="center" vertical="center"/>
      <protection locked="0"/>
    </xf>
    <xf numFmtId="167" fontId="14" fillId="0" borderId="1" xfId="4" applyFont="1" applyBorder="1" applyAlignment="1">
      <alignment horizontal="center" vertical="center"/>
    </xf>
    <xf numFmtId="167" fontId="15" fillId="0" borderId="0" xfId="4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67" fontId="15" fillId="0" borderId="1" xfId="4" applyFont="1" applyBorder="1" applyAlignment="1">
      <alignment horizontal="center" vertical="center"/>
    </xf>
    <xf numFmtId="167" fontId="14" fillId="0" borderId="0" xfId="4" applyFont="1" applyAlignment="1">
      <alignment horizontal="right" vertical="center"/>
    </xf>
    <xf numFmtId="167" fontId="14" fillId="0" borderId="1" xfId="4" applyFont="1" applyBorder="1" applyAlignment="1">
      <alignment vertical="center"/>
    </xf>
    <xf numFmtId="167" fontId="15" fillId="6" borderId="28" xfId="4" applyFont="1" applyFill="1" applyBorder="1" applyAlignment="1">
      <alignment horizontal="center" vertical="center"/>
    </xf>
    <xf numFmtId="3" fontId="14" fillId="0" borderId="0" xfId="0" applyNumberFormat="1" applyFont="1" applyAlignment="1">
      <alignment vertical="center"/>
    </xf>
    <xf numFmtId="3" fontId="14" fillId="0" borderId="0" xfId="0" applyNumberFormat="1" applyFont="1" applyAlignment="1" applyProtection="1">
      <alignment vertical="center"/>
      <protection locked="0"/>
    </xf>
    <xf numFmtId="4" fontId="14" fillId="9" borderId="1" xfId="0" applyNumberFormat="1" applyFont="1" applyFill="1" applyBorder="1" applyAlignment="1" applyProtection="1">
      <alignment vertical="center"/>
      <protection locked="0"/>
    </xf>
    <xf numFmtId="171" fontId="14" fillId="0" borderId="0" xfId="0" applyNumberFormat="1" applyFont="1" applyAlignment="1">
      <alignment vertical="center"/>
    </xf>
    <xf numFmtId="4" fontId="14" fillId="9" borderId="26" xfId="0" applyNumberFormat="1" applyFont="1" applyFill="1" applyBorder="1" applyAlignment="1" applyProtection="1">
      <alignment horizontal="center" vertical="center"/>
      <protection locked="0"/>
    </xf>
    <xf numFmtId="170" fontId="14" fillId="9" borderId="26" xfId="4" applyNumberFormat="1" applyFont="1" applyFill="1" applyBorder="1" applyAlignment="1" applyProtection="1">
      <alignment horizontal="center" vertical="center"/>
      <protection locked="0"/>
    </xf>
    <xf numFmtId="169" fontId="14" fillId="0" borderId="1" xfId="4" applyNumberFormat="1" applyFont="1" applyBorder="1" applyAlignment="1">
      <alignment horizontal="center" vertical="center"/>
    </xf>
    <xf numFmtId="170" fontId="14" fillId="0" borderId="26" xfId="4" applyNumberFormat="1" applyFont="1" applyBorder="1" applyAlignment="1">
      <alignment horizontal="center" vertical="center"/>
    </xf>
    <xf numFmtId="4" fontId="14" fillId="9" borderId="1" xfId="0" applyNumberFormat="1" applyFont="1" applyFill="1" applyBorder="1" applyAlignment="1" applyProtection="1">
      <alignment horizontal="center" vertical="center"/>
      <protection locked="0"/>
    </xf>
    <xf numFmtId="167" fontId="14" fillId="0" borderId="1" xfId="4" applyFont="1" applyFill="1" applyBorder="1" applyAlignment="1">
      <alignment horizontal="center" vertical="center"/>
    </xf>
    <xf numFmtId="167" fontId="14" fillId="10" borderId="0" xfId="4" applyFont="1" applyFill="1" applyAlignment="1">
      <alignment vertical="center"/>
    </xf>
    <xf numFmtId="170" fontId="14" fillId="0" borderId="1" xfId="4" applyNumberFormat="1" applyFont="1" applyBorder="1" applyAlignment="1">
      <alignment horizontal="center" vertical="center"/>
    </xf>
    <xf numFmtId="169" fontId="15" fillId="0" borderId="1" xfId="4" applyNumberFormat="1" applyFont="1" applyBorder="1" applyAlignment="1">
      <alignment horizontal="center" vertical="center"/>
    </xf>
    <xf numFmtId="170" fontId="15" fillId="0" borderId="1" xfId="4" applyNumberFormat="1" applyFont="1" applyBorder="1" applyAlignment="1">
      <alignment horizontal="center" vertical="center"/>
    </xf>
    <xf numFmtId="167" fontId="15" fillId="6" borderId="30" xfId="4" applyFont="1" applyFill="1" applyBorder="1" applyAlignment="1">
      <alignment horizontal="center" vertical="center"/>
    </xf>
    <xf numFmtId="0" fontId="14" fillId="5" borderId="26" xfId="0" applyFont="1" applyFill="1" applyBorder="1" applyAlignment="1">
      <alignment vertical="center"/>
    </xf>
    <xf numFmtId="0" fontId="14" fillId="9" borderId="26" xfId="0" applyFont="1" applyFill="1" applyBorder="1" applyAlignment="1" applyProtection="1">
      <alignment horizontal="center" vertical="center"/>
      <protection locked="0"/>
    </xf>
    <xf numFmtId="167" fontId="14" fillId="0" borderId="26" xfId="4" applyFont="1" applyFill="1" applyBorder="1" applyAlignment="1" applyProtection="1">
      <alignment horizontal="center" vertical="center"/>
      <protection locked="0"/>
    </xf>
    <xf numFmtId="3" fontId="14" fillId="9" borderId="1" xfId="0" applyNumberFormat="1" applyFont="1" applyFill="1" applyBorder="1" applyAlignment="1" applyProtection="1">
      <alignment horizontal="center" vertical="center"/>
      <protection locked="0"/>
    </xf>
    <xf numFmtId="167" fontId="14" fillId="0" borderId="0" xfId="4" applyFont="1" applyFill="1" applyAlignment="1">
      <alignment vertical="center"/>
    </xf>
    <xf numFmtId="167" fontId="15" fillId="0" borderId="40" xfId="4" applyFont="1" applyFill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167" fontId="14" fillId="0" borderId="0" xfId="4" applyFont="1" applyFill="1" applyBorder="1" applyAlignment="1">
      <alignment horizontal="center" vertical="center"/>
    </xf>
    <xf numFmtId="167" fontId="21" fillId="0" borderId="1" xfId="4" applyFont="1" applyBorder="1" applyAlignment="1">
      <alignment horizontal="center" vertical="center"/>
    </xf>
    <xf numFmtId="0" fontId="15" fillId="3" borderId="30" xfId="0" applyFont="1" applyFill="1" applyBorder="1" applyAlignment="1">
      <alignment horizontal="center" vertical="center"/>
    </xf>
    <xf numFmtId="167" fontId="15" fillId="10" borderId="0" xfId="4" applyFont="1" applyFill="1" applyAlignment="1">
      <alignment vertical="center"/>
    </xf>
    <xf numFmtId="167" fontId="14" fillId="0" borderId="0" xfId="4" applyFont="1" applyFill="1" applyBorder="1" applyAlignment="1">
      <alignment vertical="center"/>
    </xf>
    <xf numFmtId="167" fontId="15" fillId="10" borderId="0" xfId="4" applyFont="1" applyFill="1" applyBorder="1" applyAlignment="1">
      <alignment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center" vertical="center"/>
    </xf>
    <xf numFmtId="10" fontId="14" fillId="9" borderId="2" xfId="0" applyNumberFormat="1" applyFont="1" applyFill="1" applyBorder="1" applyAlignment="1" applyProtection="1">
      <alignment horizontal="center" vertical="center"/>
      <protection locked="0"/>
    </xf>
    <xf numFmtId="10" fontId="14" fillId="0" borderId="9" xfId="3" applyNumberFormat="1" applyFont="1" applyBorder="1" applyAlignment="1">
      <alignment horizontal="right"/>
    </xf>
    <xf numFmtId="10" fontId="14" fillId="0" borderId="1" xfId="3" applyNumberFormat="1" applyFont="1" applyBorder="1" applyAlignment="1">
      <alignment horizontal="right"/>
    </xf>
    <xf numFmtId="10" fontId="14" fillId="0" borderId="6" xfId="3" applyNumberFormat="1" applyFont="1" applyBorder="1" applyAlignment="1">
      <alignment horizontal="right"/>
    </xf>
    <xf numFmtId="0" fontId="14" fillId="0" borderId="9" xfId="0" applyFont="1" applyBorder="1" applyAlignment="1">
      <alignment horizontal="left" vertical="center"/>
    </xf>
    <xf numFmtId="10" fontId="14" fillId="9" borderId="6" xfId="0" applyNumberFormat="1" applyFont="1" applyFill="1" applyBorder="1" applyAlignment="1" applyProtection="1">
      <alignment horizontal="center" vertical="center"/>
      <protection locked="0"/>
    </xf>
    <xf numFmtId="10" fontId="14" fillId="0" borderId="6" xfId="0" applyNumberFormat="1" applyFont="1" applyBorder="1" applyAlignment="1">
      <alignment horizontal="center" vertical="center"/>
    </xf>
    <xf numFmtId="10" fontId="14" fillId="9" borderId="1" xfId="3" applyNumberFormat="1" applyFont="1" applyFill="1" applyBorder="1" applyAlignment="1" applyProtection="1">
      <alignment horizontal="center"/>
      <protection locked="0"/>
    </xf>
    <xf numFmtId="10" fontId="14" fillId="0" borderId="6" xfId="3" applyNumberFormat="1" applyFont="1" applyBorder="1"/>
    <xf numFmtId="0" fontId="14" fillId="0" borderId="9" xfId="0" applyFont="1" applyBorder="1" applyAlignment="1" applyProtection="1">
      <alignment horizontal="left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>
      <alignment horizontal="right"/>
    </xf>
    <xf numFmtId="0" fontId="14" fillId="9" borderId="1" xfId="0" applyFont="1" applyFill="1" applyBorder="1" applyAlignment="1" applyProtection="1">
      <alignment horizontal="center"/>
      <protection locked="0"/>
    </xf>
    <xf numFmtId="0" fontId="14" fillId="0" borderId="6" xfId="0" applyFont="1" applyBorder="1"/>
    <xf numFmtId="0" fontId="14" fillId="0" borderId="35" xfId="0" applyFont="1" applyBorder="1" applyAlignment="1">
      <alignment vertical="center"/>
    </xf>
    <xf numFmtId="0" fontId="14" fillId="0" borderId="36" xfId="0" applyFont="1" applyBorder="1" applyAlignment="1">
      <alignment vertical="center"/>
    </xf>
    <xf numFmtId="10" fontId="14" fillId="0" borderId="37" xfId="0" applyNumberFormat="1" applyFont="1" applyBorder="1" applyAlignment="1">
      <alignment vertical="center"/>
    </xf>
    <xf numFmtId="0" fontId="14" fillId="0" borderId="9" xfId="0" applyFont="1" applyBorder="1"/>
    <xf numFmtId="0" fontId="14" fillId="0" borderId="1" xfId="0" applyFont="1" applyBorder="1" applyAlignment="1">
      <alignment horizontal="center"/>
    </xf>
    <xf numFmtId="0" fontId="14" fillId="0" borderId="11" xfId="0" applyFont="1" applyBorder="1" applyAlignment="1">
      <alignment horizontal="left" vertical="center"/>
    </xf>
    <xf numFmtId="0" fontId="14" fillId="0" borderId="38" xfId="0" applyFont="1" applyBorder="1" applyAlignment="1">
      <alignment horizontal="left" vertical="center"/>
    </xf>
    <xf numFmtId="0" fontId="14" fillId="0" borderId="39" xfId="0" applyFont="1" applyBorder="1" applyAlignment="1">
      <alignment vertical="center"/>
    </xf>
    <xf numFmtId="0" fontId="15" fillId="2" borderId="31" xfId="0" applyFont="1" applyFill="1" applyBorder="1" applyAlignment="1">
      <alignment vertical="center" wrapText="1"/>
    </xf>
    <xf numFmtId="0" fontId="14" fillId="2" borderId="40" xfId="0" applyFont="1" applyFill="1" applyBorder="1" applyAlignment="1">
      <alignment vertical="center"/>
    </xf>
    <xf numFmtId="10" fontId="15" fillId="2" borderId="30" xfId="0" applyNumberFormat="1" applyFont="1" applyFill="1" applyBorder="1" applyAlignment="1">
      <alignment horizontal="center" vertical="center" wrapText="1"/>
    </xf>
    <xf numFmtId="10" fontId="14" fillId="0" borderId="10" xfId="3" applyNumberFormat="1" applyFont="1" applyBorder="1" applyAlignment="1">
      <alignment horizontal="right"/>
    </xf>
    <xf numFmtId="10" fontId="14" fillId="0" borderId="13" xfId="3" applyNumberFormat="1" applyFont="1" applyBorder="1" applyAlignment="1">
      <alignment horizontal="right"/>
    </xf>
    <xf numFmtId="10" fontId="14" fillId="0" borderId="14" xfId="3" applyNumberFormat="1" applyFont="1" applyBorder="1" applyAlignment="1">
      <alignment horizontal="right"/>
    </xf>
    <xf numFmtId="0" fontId="15" fillId="0" borderId="0" xfId="0" applyFont="1" applyAlignment="1">
      <alignment vertical="center"/>
    </xf>
    <xf numFmtId="167" fontId="14" fillId="8" borderId="1" xfId="4" applyFont="1" applyFill="1" applyBorder="1" applyAlignment="1">
      <alignment horizontal="center" vertical="center"/>
    </xf>
    <xf numFmtId="0" fontId="15" fillId="0" borderId="31" xfId="0" applyFont="1" applyBorder="1" applyAlignment="1">
      <alignment vertical="center"/>
    </xf>
    <xf numFmtId="0" fontId="14" fillId="0" borderId="40" xfId="0" applyFont="1" applyBorder="1" applyAlignment="1">
      <alignment vertical="center"/>
    </xf>
    <xf numFmtId="167" fontId="14" fillId="0" borderId="40" xfId="4" applyFont="1" applyBorder="1" applyAlignment="1">
      <alignment vertical="center"/>
    </xf>
    <xf numFmtId="167" fontId="14" fillId="0" borderId="28" xfId="4" applyFont="1" applyBorder="1" applyAlignment="1">
      <alignment vertical="center"/>
    </xf>
    <xf numFmtId="167" fontId="15" fillId="6" borderId="30" xfId="4" applyFont="1" applyFill="1" applyBorder="1" applyAlignment="1">
      <alignment vertical="center"/>
    </xf>
    <xf numFmtId="0" fontId="0" fillId="0" borderId="9" xfId="0" applyBorder="1"/>
    <xf numFmtId="165" fontId="15" fillId="0" borderId="41" xfId="1" applyFont="1" applyBorder="1" applyAlignment="1">
      <alignment horizontal="center" vertical="center"/>
    </xf>
    <xf numFmtId="167" fontId="15" fillId="0" borderId="21" xfId="4" applyFont="1" applyBorder="1" applyAlignment="1">
      <alignment horizontal="center" vertical="center"/>
    </xf>
    <xf numFmtId="10" fontId="15" fillId="0" borderId="6" xfId="3" applyNumberFormat="1" applyFont="1" applyBorder="1" applyAlignment="1">
      <alignment vertical="center"/>
    </xf>
    <xf numFmtId="10" fontId="14" fillId="0" borderId="6" xfId="3" applyNumberFormat="1" applyFont="1" applyBorder="1" applyAlignment="1">
      <alignment vertical="center"/>
    </xf>
    <xf numFmtId="10" fontId="15" fillId="0" borderId="14" xfId="3" applyNumberFormat="1" applyFont="1" applyBorder="1" applyAlignment="1">
      <alignment vertical="center"/>
    </xf>
    <xf numFmtId="168" fontId="2" fillId="0" borderId="0" xfId="0" applyNumberFormat="1" applyFont="1"/>
    <xf numFmtId="0" fontId="22" fillId="0" borderId="0" xfId="0" applyFont="1"/>
    <xf numFmtId="0" fontId="23" fillId="0" borderId="0" xfId="0" applyFont="1"/>
    <xf numFmtId="0" fontId="0" fillId="0" borderId="1" xfId="0" applyBorder="1"/>
    <xf numFmtId="173" fontId="0" fillId="0" borderId="1" xfId="1" applyNumberFormat="1" applyFont="1" applyBorder="1" applyAlignment="1">
      <alignment horizontal="center"/>
    </xf>
    <xf numFmtId="166" fontId="0" fillId="0" borderId="1" xfId="1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justify"/>
    </xf>
    <xf numFmtId="4" fontId="14" fillId="9" borderId="0" xfId="0" applyNumberFormat="1" applyFont="1" applyFill="1" applyAlignment="1" applyProtection="1">
      <alignment vertical="center"/>
      <protection locked="0"/>
    </xf>
    <xf numFmtId="170" fontId="14" fillId="9" borderId="26" xfId="4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justify"/>
    </xf>
    <xf numFmtId="0" fontId="2" fillId="0" borderId="1" xfId="0" applyFont="1" applyBorder="1" applyAlignment="1">
      <alignment horizontal="center"/>
    </xf>
    <xf numFmtId="173" fontId="0" fillId="0" borderId="1" xfId="1" applyNumberFormat="1" applyFont="1" applyBorder="1" applyAlignment="1">
      <alignment horizontal="center" vertical="center"/>
    </xf>
    <xf numFmtId="167" fontId="14" fillId="9" borderId="26" xfId="4" applyFont="1" applyFill="1" applyBorder="1" applyAlignment="1" applyProtection="1">
      <alignment horizontal="center" vertical="center"/>
    </xf>
    <xf numFmtId="167" fontId="15" fillId="8" borderId="0" xfId="4" applyFont="1" applyFill="1" applyAlignment="1">
      <alignment vertical="center"/>
    </xf>
    <xf numFmtId="0" fontId="2" fillId="8" borderId="0" xfId="0" applyFont="1" applyFill="1"/>
    <xf numFmtId="167" fontId="14" fillId="8" borderId="0" xfId="4" applyFont="1" applyFill="1" applyAlignment="1">
      <alignment vertical="center"/>
    </xf>
    <xf numFmtId="0" fontId="1" fillId="8" borderId="0" xfId="0" applyFont="1" applyFill="1"/>
    <xf numFmtId="0" fontId="0" fillId="8" borderId="0" xfId="0" applyFill="1"/>
    <xf numFmtId="167" fontId="14" fillId="10" borderId="45" xfId="4" applyFont="1" applyFill="1" applyBorder="1" applyAlignment="1">
      <alignment vertical="center"/>
    </xf>
    <xf numFmtId="10" fontId="0" fillId="0" borderId="0" xfId="7" applyNumberFormat="1" applyFont="1"/>
    <xf numFmtId="2" fontId="0" fillId="0" borderId="0" xfId="0" applyNumberFormat="1"/>
    <xf numFmtId="164" fontId="0" fillId="0" borderId="0" xfId="0" applyNumberFormat="1"/>
    <xf numFmtId="44" fontId="0" fillId="0" borderId="0" xfId="7" applyNumberFormat="1" applyFont="1"/>
    <xf numFmtId="166" fontId="0" fillId="0" borderId="0" xfId="1" quotePrefix="1" applyNumberFormat="1" applyFont="1"/>
    <xf numFmtId="2" fontId="0" fillId="0" borderId="0" xfId="1" applyNumberFormat="1" applyFont="1" applyAlignment="1">
      <alignment horizontal="right"/>
    </xf>
    <xf numFmtId="0" fontId="2" fillId="11" borderId="0" xfId="0" applyFont="1" applyFill="1"/>
    <xf numFmtId="165" fontId="0" fillId="11" borderId="0" xfId="1" applyFont="1" applyFill="1" applyAlignment="1">
      <alignment horizontal="center"/>
    </xf>
    <xf numFmtId="166" fontId="0" fillId="11" borderId="0" xfId="1" applyNumberFormat="1" applyFont="1" applyFill="1"/>
    <xf numFmtId="0" fontId="0" fillId="11" borderId="0" xfId="0" applyFill="1" applyAlignment="1">
      <alignment horizontal="center"/>
    </xf>
    <xf numFmtId="0" fontId="0" fillId="11" borderId="0" xfId="0" applyFill="1"/>
    <xf numFmtId="0" fontId="15" fillId="11" borderId="0" xfId="0" applyFont="1" applyFill="1"/>
    <xf numFmtId="174" fontId="2" fillId="11" borderId="0" xfId="1" applyNumberFormat="1" applyFont="1" applyFill="1" applyAlignment="1">
      <alignment horizontal="left"/>
    </xf>
    <xf numFmtId="166" fontId="2" fillId="11" borderId="0" xfId="1" applyNumberFormat="1" applyFont="1" applyFill="1"/>
    <xf numFmtId="10" fontId="2" fillId="11" borderId="0" xfId="0" applyNumberFormat="1" applyFont="1" applyFill="1" applyAlignment="1">
      <alignment horizontal="left"/>
    </xf>
    <xf numFmtId="174" fontId="2" fillId="11" borderId="0" xfId="0" applyNumberFormat="1" applyFont="1" applyFill="1" applyAlignment="1">
      <alignment horizontal="left"/>
    </xf>
    <xf numFmtId="4" fontId="2" fillId="11" borderId="0" xfId="0" applyNumberFormat="1" applyFont="1" applyFill="1"/>
    <xf numFmtId="172" fontId="2" fillId="11" borderId="0" xfId="1" applyNumberFormat="1" applyFont="1" applyFill="1"/>
    <xf numFmtId="173" fontId="2" fillId="11" borderId="0" xfId="1" applyNumberFormat="1" applyFont="1" applyFill="1" applyAlignment="1">
      <alignment horizontal="center"/>
    </xf>
    <xf numFmtId="8" fontId="2" fillId="11" borderId="0" xfId="6" applyNumberFormat="1" applyFont="1" applyFill="1"/>
    <xf numFmtId="8" fontId="2" fillId="11" borderId="0" xfId="0" applyNumberFormat="1" applyFont="1" applyFill="1"/>
    <xf numFmtId="167" fontId="14" fillId="0" borderId="26" xfId="4" applyFont="1" applyBorder="1" applyAlignment="1">
      <alignment vertical="center"/>
    </xf>
    <xf numFmtId="0" fontId="5" fillId="11" borderId="0" xfId="5" applyFill="1" applyAlignment="1" applyProtection="1"/>
    <xf numFmtId="0" fontId="5" fillId="0" borderId="0" xfId="5" applyFill="1" applyAlignment="1" applyProtection="1"/>
    <xf numFmtId="0" fontId="22" fillId="11" borderId="0" xfId="0" applyFont="1" applyFill="1"/>
    <xf numFmtId="10" fontId="0" fillId="11" borderId="0" xfId="1" applyNumberFormat="1" applyFont="1" applyFill="1"/>
    <xf numFmtId="174" fontId="0" fillId="11" borderId="0" xfId="1" applyNumberFormat="1" applyFont="1" applyFill="1" applyAlignment="1">
      <alignment horizontal="left"/>
    </xf>
    <xf numFmtId="0" fontId="15" fillId="5" borderId="5" xfId="2" applyFont="1" applyFill="1" applyBorder="1" applyAlignment="1">
      <alignment horizontal="center"/>
    </xf>
    <xf numFmtId="0" fontId="15" fillId="5" borderId="17" xfId="2" applyFont="1" applyFill="1" applyBorder="1" applyAlignment="1">
      <alignment horizontal="center"/>
    </xf>
    <xf numFmtId="0" fontId="15" fillId="3" borderId="7" xfId="2" applyFont="1" applyFill="1" applyBorder="1" applyAlignment="1">
      <alignment horizontal="center" vertical="center"/>
    </xf>
    <xf numFmtId="0" fontId="15" fillId="3" borderId="8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/>
    </xf>
    <xf numFmtId="0" fontId="2" fillId="3" borderId="40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14" fillId="0" borderId="42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7" fillId="3" borderId="31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center"/>
    </xf>
    <xf numFmtId="0" fontId="7" fillId="3" borderId="28" xfId="0" applyFont="1" applyFill="1" applyBorder="1" applyAlignment="1">
      <alignment horizontal="center"/>
    </xf>
    <xf numFmtId="167" fontId="15" fillId="3" borderId="31" xfId="4" applyFont="1" applyFill="1" applyBorder="1" applyAlignment="1">
      <alignment horizontal="center" vertical="center"/>
    </xf>
    <xf numFmtId="167" fontId="14" fillId="3" borderId="40" xfId="4" applyFont="1" applyFill="1" applyBorder="1" applyAlignment="1">
      <alignment horizontal="center" vertical="center"/>
    </xf>
    <xf numFmtId="167" fontId="14" fillId="3" borderId="28" xfId="4" applyFont="1" applyFill="1" applyBorder="1" applyAlignment="1">
      <alignment horizontal="center" vertical="center"/>
    </xf>
    <xf numFmtId="0" fontId="15" fillId="5" borderId="31" xfId="0" applyFont="1" applyFill="1" applyBorder="1" applyAlignment="1">
      <alignment horizontal="center" vertical="center"/>
    </xf>
    <xf numFmtId="0" fontId="15" fillId="5" borderId="40" xfId="0" applyFont="1" applyFill="1" applyBorder="1" applyAlignment="1">
      <alignment horizontal="center" vertical="center"/>
    </xf>
    <xf numFmtId="0" fontId="15" fillId="5" borderId="28" xfId="0" applyFont="1" applyFill="1" applyBorder="1" applyAlignment="1">
      <alignment horizontal="center" vertical="center"/>
    </xf>
    <xf numFmtId="0" fontId="0" fillId="3" borderId="40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165" fontId="0" fillId="0" borderId="0" xfId="1" applyFont="1" applyAlignment="1">
      <alignment horizontal="center"/>
    </xf>
    <xf numFmtId="0" fontId="2" fillId="0" borderId="4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47" xfId="0" applyBorder="1" applyAlignment="1">
      <alignment horizontal="center"/>
    </xf>
    <xf numFmtId="165" fontId="2" fillId="0" borderId="1" xfId="1" applyFont="1" applyBorder="1" applyAlignment="1">
      <alignment horizontal="center"/>
    </xf>
    <xf numFmtId="2" fontId="0" fillId="0" borderId="1" xfId="1" applyNumberFormat="1" applyFont="1" applyBorder="1" applyAlignment="1">
      <alignment horizontal="center" vertical="center"/>
    </xf>
  </cellXfs>
  <cellStyles count="8">
    <cellStyle name="Hyperlink" xfId="5" builtinId="8"/>
    <cellStyle name="Moeda" xfId="6" builtinId="4"/>
    <cellStyle name="Normal" xfId="0" builtinId="0"/>
    <cellStyle name="Normal 2" xfId="2"/>
    <cellStyle name="Porcentagem" xfId="7" builtinId="5"/>
    <cellStyle name="Porcentagem 2" xfId="3"/>
    <cellStyle name="Separador de milhares" xfId="1" builtin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10</xdr:row>
      <xdr:rowOff>104775</xdr:rowOff>
    </xdr:from>
    <xdr:to>
      <xdr:col>3</xdr:col>
      <xdr:colOff>247650</xdr:colOff>
      <xdr:row>10</xdr:row>
      <xdr:rowOff>123825</xdr:rowOff>
    </xdr:to>
    <xdr:cxnSp macro="">
      <xdr:nvCxnSpPr>
        <xdr:cNvPr id="4" name="Conector de Seta Reta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4133850" y="2047875"/>
          <a:ext cx="171450" cy="1905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5</xdr:row>
      <xdr:rowOff>114300</xdr:rowOff>
    </xdr:from>
    <xdr:to>
      <xdr:col>5</xdr:col>
      <xdr:colOff>190500</xdr:colOff>
      <xdr:row>5</xdr:row>
      <xdr:rowOff>123825</xdr:rowOff>
    </xdr:to>
    <xdr:cxnSp macro="">
      <xdr:nvCxnSpPr>
        <xdr:cNvPr id="3" name="Conector de Seta Reta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6667500" y="1152525"/>
          <a:ext cx="142875" cy="9525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2</xdr:row>
      <xdr:rowOff>114300</xdr:rowOff>
    </xdr:from>
    <xdr:to>
      <xdr:col>3</xdr:col>
      <xdr:colOff>142875</xdr:colOff>
      <xdr:row>2</xdr:row>
      <xdr:rowOff>114300</xdr:rowOff>
    </xdr:to>
    <xdr:cxnSp macro="">
      <xdr:nvCxnSpPr>
        <xdr:cNvPr id="3" name="Conector de Seta Reta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4581525" y="495300"/>
          <a:ext cx="11430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25</xdr:row>
      <xdr:rowOff>95250</xdr:rowOff>
    </xdr:from>
    <xdr:to>
      <xdr:col>5</xdr:col>
      <xdr:colOff>190500</xdr:colOff>
      <xdr:row>25</xdr:row>
      <xdr:rowOff>123825</xdr:rowOff>
    </xdr:to>
    <xdr:cxnSp macro="">
      <xdr:nvCxnSpPr>
        <xdr:cNvPr id="4" name="Conector de Seta Reta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6543675" y="5000625"/>
          <a:ext cx="133350" cy="28575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25</xdr:row>
      <xdr:rowOff>85725</xdr:rowOff>
    </xdr:from>
    <xdr:to>
      <xdr:col>5</xdr:col>
      <xdr:colOff>447675</xdr:colOff>
      <xdr:row>25</xdr:row>
      <xdr:rowOff>95250</xdr:rowOff>
    </xdr:to>
    <xdr:cxnSp macro="">
      <xdr:nvCxnSpPr>
        <xdr:cNvPr id="5" name="Conector de Seta Reta 4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CxnSpPr/>
      </xdr:nvCxnSpPr>
      <xdr:spPr>
        <a:xfrm>
          <a:off x="6343650" y="4210050"/>
          <a:ext cx="285750" cy="9525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8</xdr:row>
      <xdr:rowOff>95250</xdr:rowOff>
    </xdr:from>
    <xdr:to>
      <xdr:col>6</xdr:col>
      <xdr:colOff>161925</xdr:colOff>
      <xdr:row>8</xdr:row>
      <xdr:rowOff>104775</xdr:rowOff>
    </xdr:to>
    <xdr:cxnSp macro="">
      <xdr:nvCxnSpPr>
        <xdr:cNvPr id="7" name="Conector de Seta Reta 6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CxnSpPr/>
      </xdr:nvCxnSpPr>
      <xdr:spPr>
        <a:xfrm>
          <a:off x="6943725" y="1666875"/>
          <a:ext cx="114300" cy="9525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</xdr:colOff>
      <xdr:row>9</xdr:row>
      <xdr:rowOff>104775</xdr:rowOff>
    </xdr:from>
    <xdr:to>
      <xdr:col>6</xdr:col>
      <xdr:colOff>152400</xdr:colOff>
      <xdr:row>9</xdr:row>
      <xdr:rowOff>114300</xdr:rowOff>
    </xdr:to>
    <xdr:cxnSp macro="">
      <xdr:nvCxnSpPr>
        <xdr:cNvPr id="8" name="Conector de Seta Reta 7">
          <a:extLst>
            <a:ext uri="{FF2B5EF4-FFF2-40B4-BE49-F238E27FC236}">
              <a16:creationId xmlns="" xmlns:a16="http://schemas.microsoft.com/office/drawing/2014/main" id="{00000000-0008-0000-0400-000008000000}"/>
            </a:ext>
          </a:extLst>
        </xdr:cNvPr>
        <xdr:cNvCxnSpPr/>
      </xdr:nvCxnSpPr>
      <xdr:spPr>
        <a:xfrm>
          <a:off x="7334250" y="1866900"/>
          <a:ext cx="114300" cy="9525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7</xdr:row>
      <xdr:rowOff>104775</xdr:rowOff>
    </xdr:from>
    <xdr:to>
      <xdr:col>6</xdr:col>
      <xdr:colOff>161925</xdr:colOff>
      <xdr:row>7</xdr:row>
      <xdr:rowOff>114300</xdr:rowOff>
    </xdr:to>
    <xdr:cxnSp macro="">
      <xdr:nvCxnSpPr>
        <xdr:cNvPr id="9" name="Conector de Seta Reta 8">
          <a:extLst>
            <a:ext uri="{FF2B5EF4-FFF2-40B4-BE49-F238E27FC236}">
              <a16:creationId xmlns="" xmlns:a16="http://schemas.microsoft.com/office/drawing/2014/main" id="{00000000-0008-0000-0400-000009000000}"/>
            </a:ext>
          </a:extLst>
        </xdr:cNvPr>
        <xdr:cNvCxnSpPr/>
      </xdr:nvCxnSpPr>
      <xdr:spPr>
        <a:xfrm>
          <a:off x="6943725" y="1485900"/>
          <a:ext cx="114300" cy="9525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10</xdr:row>
      <xdr:rowOff>114300</xdr:rowOff>
    </xdr:from>
    <xdr:to>
      <xdr:col>6</xdr:col>
      <xdr:colOff>142875</xdr:colOff>
      <xdr:row>10</xdr:row>
      <xdr:rowOff>123825</xdr:rowOff>
    </xdr:to>
    <xdr:cxnSp macro="">
      <xdr:nvCxnSpPr>
        <xdr:cNvPr id="10" name="Conector de Seta Reta 9">
          <a:extLst>
            <a:ext uri="{FF2B5EF4-FFF2-40B4-BE49-F238E27FC236}">
              <a16:creationId xmlns="" xmlns:a16="http://schemas.microsoft.com/office/drawing/2014/main" id="{00000000-0008-0000-0400-00000A000000}"/>
            </a:ext>
          </a:extLst>
        </xdr:cNvPr>
        <xdr:cNvCxnSpPr/>
      </xdr:nvCxnSpPr>
      <xdr:spPr>
        <a:xfrm>
          <a:off x="6924675" y="2066925"/>
          <a:ext cx="114300" cy="9525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</xdr:colOff>
      <xdr:row>46</xdr:row>
      <xdr:rowOff>104775</xdr:rowOff>
    </xdr:from>
    <xdr:to>
      <xdr:col>5</xdr:col>
      <xdr:colOff>142875</xdr:colOff>
      <xdr:row>46</xdr:row>
      <xdr:rowOff>114300</xdr:rowOff>
    </xdr:to>
    <xdr:cxnSp macro="">
      <xdr:nvCxnSpPr>
        <xdr:cNvPr id="13" name="Conector de Seta Reta 12">
          <a:extLst>
            <a:ext uri="{FF2B5EF4-FFF2-40B4-BE49-F238E27FC236}">
              <a16:creationId xmlns="" xmlns:a16="http://schemas.microsoft.com/office/drawing/2014/main" id="{00000000-0008-0000-0400-00000D000000}"/>
            </a:ext>
          </a:extLst>
        </xdr:cNvPr>
        <xdr:cNvCxnSpPr/>
      </xdr:nvCxnSpPr>
      <xdr:spPr>
        <a:xfrm>
          <a:off x="6457950" y="8305800"/>
          <a:ext cx="114300" cy="9525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</xdr:colOff>
      <xdr:row>48</xdr:row>
      <xdr:rowOff>104775</xdr:rowOff>
    </xdr:from>
    <xdr:to>
      <xdr:col>5</xdr:col>
      <xdr:colOff>142875</xdr:colOff>
      <xdr:row>48</xdr:row>
      <xdr:rowOff>114300</xdr:rowOff>
    </xdr:to>
    <xdr:cxnSp macro="">
      <xdr:nvCxnSpPr>
        <xdr:cNvPr id="15" name="Conector de Seta Reta 14">
          <a:extLst>
            <a:ext uri="{FF2B5EF4-FFF2-40B4-BE49-F238E27FC236}">
              <a16:creationId xmlns="" xmlns:a16="http://schemas.microsoft.com/office/drawing/2014/main" id="{00000000-0008-0000-0400-00000F000000}"/>
            </a:ext>
          </a:extLst>
        </xdr:cNvPr>
        <xdr:cNvCxnSpPr/>
      </xdr:nvCxnSpPr>
      <xdr:spPr>
        <a:xfrm>
          <a:off x="6457950" y="8305800"/>
          <a:ext cx="114300" cy="9525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41</xdr:row>
      <xdr:rowOff>104775</xdr:rowOff>
    </xdr:from>
    <xdr:to>
      <xdr:col>5</xdr:col>
      <xdr:colOff>161925</xdr:colOff>
      <xdr:row>41</xdr:row>
      <xdr:rowOff>114300</xdr:rowOff>
    </xdr:to>
    <xdr:cxnSp macro="">
      <xdr:nvCxnSpPr>
        <xdr:cNvPr id="16" name="Conector de Seta Reta 15">
          <a:extLst>
            <a:ext uri="{FF2B5EF4-FFF2-40B4-BE49-F238E27FC236}">
              <a16:creationId xmlns="" xmlns:a16="http://schemas.microsoft.com/office/drawing/2014/main" id="{00000000-0008-0000-0400-000010000000}"/>
            </a:ext>
          </a:extLst>
        </xdr:cNvPr>
        <xdr:cNvCxnSpPr/>
      </xdr:nvCxnSpPr>
      <xdr:spPr>
        <a:xfrm>
          <a:off x="6477000" y="7315200"/>
          <a:ext cx="114300" cy="9525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171450</xdr:colOff>
      <xdr:row>18</xdr:row>
      <xdr:rowOff>114300</xdr:rowOff>
    </xdr:from>
    <xdr:to>
      <xdr:col>2</xdr:col>
      <xdr:colOff>523875</xdr:colOff>
      <xdr:row>18</xdr:row>
      <xdr:rowOff>114300</xdr:rowOff>
    </xdr:to>
    <xdr:cxnSp macro="">
      <xdr:nvCxnSpPr>
        <xdr:cNvPr id="14" name="Conector de Seta Reta 13">
          <a:extLst>
            <a:ext uri="{FF2B5EF4-FFF2-40B4-BE49-F238E27FC236}">
              <a16:creationId xmlns="" xmlns:a16="http://schemas.microsoft.com/office/drawing/2014/main" id="{00000000-0008-0000-0400-00000E000000}"/>
            </a:ext>
          </a:extLst>
        </xdr:cNvPr>
        <xdr:cNvCxnSpPr/>
      </xdr:nvCxnSpPr>
      <xdr:spPr>
        <a:xfrm flipH="1">
          <a:off x="4210050" y="3228975"/>
          <a:ext cx="3524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8</xdr:row>
      <xdr:rowOff>95250</xdr:rowOff>
    </xdr:from>
    <xdr:to>
      <xdr:col>3</xdr:col>
      <xdr:colOff>419100</xdr:colOff>
      <xdr:row>8</xdr:row>
      <xdr:rowOff>95250</xdr:rowOff>
    </xdr:to>
    <xdr:cxnSp macro="">
      <xdr:nvCxnSpPr>
        <xdr:cNvPr id="5" name="Conector de Seta Reta 4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CxnSpPr/>
      </xdr:nvCxnSpPr>
      <xdr:spPr>
        <a:xfrm>
          <a:off x="3629025" y="16287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495300</xdr:colOff>
      <xdr:row>8</xdr:row>
      <xdr:rowOff>171450</xdr:rowOff>
    </xdr:from>
    <xdr:to>
      <xdr:col>4</xdr:col>
      <xdr:colOff>28575</xdr:colOff>
      <xdr:row>9</xdr:row>
      <xdr:rowOff>133350</xdr:rowOff>
    </xdr:to>
    <xdr:cxnSp macro="">
      <xdr:nvCxnSpPr>
        <xdr:cNvPr id="7" name="Conector de Seta Reta 6">
          <a:extLst>
            <a:ext uri="{FF2B5EF4-FFF2-40B4-BE49-F238E27FC236}">
              <a16:creationId xmlns="" xmlns:a16="http://schemas.microsoft.com/office/drawing/2014/main" id="{00000000-0008-0000-0700-000007000000}"/>
            </a:ext>
          </a:extLst>
        </xdr:cNvPr>
        <xdr:cNvCxnSpPr/>
      </xdr:nvCxnSpPr>
      <xdr:spPr>
        <a:xfrm flipV="1">
          <a:off x="3981450" y="1704975"/>
          <a:ext cx="171450" cy="15240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152400</xdr:colOff>
      <xdr:row>21</xdr:row>
      <xdr:rowOff>114300</xdr:rowOff>
    </xdr:from>
    <xdr:to>
      <xdr:col>3</xdr:col>
      <xdr:colOff>428625</xdr:colOff>
      <xdr:row>21</xdr:row>
      <xdr:rowOff>114300</xdr:rowOff>
    </xdr:to>
    <xdr:cxnSp macro="">
      <xdr:nvCxnSpPr>
        <xdr:cNvPr id="8" name="Conector de Seta Reta 7">
          <a:extLst>
            <a:ext uri="{FF2B5EF4-FFF2-40B4-BE49-F238E27FC236}">
              <a16:creationId xmlns="" xmlns:a16="http://schemas.microsoft.com/office/drawing/2014/main" id="{00000000-0008-0000-0700-000008000000}"/>
            </a:ext>
          </a:extLst>
        </xdr:cNvPr>
        <xdr:cNvCxnSpPr/>
      </xdr:nvCxnSpPr>
      <xdr:spPr>
        <a:xfrm>
          <a:off x="3638550" y="412432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152400</xdr:colOff>
      <xdr:row>22</xdr:row>
      <xdr:rowOff>114300</xdr:rowOff>
    </xdr:from>
    <xdr:to>
      <xdr:col>3</xdr:col>
      <xdr:colOff>428625</xdr:colOff>
      <xdr:row>22</xdr:row>
      <xdr:rowOff>114300</xdr:rowOff>
    </xdr:to>
    <xdr:cxnSp macro="">
      <xdr:nvCxnSpPr>
        <xdr:cNvPr id="9" name="Conector de Seta Reta 8">
          <a:extLst>
            <a:ext uri="{FF2B5EF4-FFF2-40B4-BE49-F238E27FC236}">
              <a16:creationId xmlns="" xmlns:a16="http://schemas.microsoft.com/office/drawing/2014/main" id="{00000000-0008-0000-0700-000009000000}"/>
            </a:ext>
          </a:extLst>
        </xdr:cNvPr>
        <xdr:cNvCxnSpPr/>
      </xdr:nvCxnSpPr>
      <xdr:spPr>
        <a:xfrm>
          <a:off x="3638550" y="412432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57150</xdr:colOff>
      <xdr:row>23</xdr:row>
      <xdr:rowOff>95250</xdr:rowOff>
    </xdr:from>
    <xdr:to>
      <xdr:col>4</xdr:col>
      <xdr:colOff>190500</xdr:colOff>
      <xdr:row>23</xdr:row>
      <xdr:rowOff>123825</xdr:rowOff>
    </xdr:to>
    <xdr:cxnSp macro="">
      <xdr:nvCxnSpPr>
        <xdr:cNvPr id="10" name="Conector de Seta Reta 9">
          <a:extLst>
            <a:ext uri="{FF2B5EF4-FFF2-40B4-BE49-F238E27FC236}">
              <a16:creationId xmlns="" xmlns:a16="http://schemas.microsoft.com/office/drawing/2014/main" id="{00000000-0008-0000-0700-00000A000000}"/>
            </a:ext>
          </a:extLst>
        </xdr:cNvPr>
        <xdr:cNvCxnSpPr/>
      </xdr:nvCxnSpPr>
      <xdr:spPr>
        <a:xfrm>
          <a:off x="6543675" y="5029200"/>
          <a:ext cx="133350" cy="28575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152400</xdr:colOff>
      <xdr:row>24</xdr:row>
      <xdr:rowOff>114300</xdr:rowOff>
    </xdr:from>
    <xdr:to>
      <xdr:col>1</xdr:col>
      <xdr:colOff>428625</xdr:colOff>
      <xdr:row>24</xdr:row>
      <xdr:rowOff>114300</xdr:rowOff>
    </xdr:to>
    <xdr:cxnSp macro="">
      <xdr:nvCxnSpPr>
        <xdr:cNvPr id="11" name="Conector de Seta Reta 10">
          <a:extLst>
            <a:ext uri="{FF2B5EF4-FFF2-40B4-BE49-F238E27FC236}">
              <a16:creationId xmlns="" xmlns:a16="http://schemas.microsoft.com/office/drawing/2014/main" id="{00000000-0008-0000-0700-00000B000000}"/>
            </a:ext>
          </a:extLst>
        </xdr:cNvPr>
        <xdr:cNvCxnSpPr/>
      </xdr:nvCxnSpPr>
      <xdr:spPr>
        <a:xfrm>
          <a:off x="3638550" y="431482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152400</xdr:colOff>
      <xdr:row>25</xdr:row>
      <xdr:rowOff>114300</xdr:rowOff>
    </xdr:from>
    <xdr:to>
      <xdr:col>1</xdr:col>
      <xdr:colOff>428625</xdr:colOff>
      <xdr:row>25</xdr:row>
      <xdr:rowOff>114300</xdr:rowOff>
    </xdr:to>
    <xdr:cxnSp macro="">
      <xdr:nvCxnSpPr>
        <xdr:cNvPr id="12" name="Conector de Seta Reta 11">
          <a:extLst>
            <a:ext uri="{FF2B5EF4-FFF2-40B4-BE49-F238E27FC236}">
              <a16:creationId xmlns="" xmlns:a16="http://schemas.microsoft.com/office/drawing/2014/main" id="{00000000-0008-0000-0700-00000C000000}"/>
            </a:ext>
          </a:extLst>
        </xdr:cNvPr>
        <xdr:cNvCxnSpPr/>
      </xdr:nvCxnSpPr>
      <xdr:spPr>
        <a:xfrm>
          <a:off x="1666875" y="488632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26</xdr:row>
      <xdr:rowOff>95250</xdr:rowOff>
    </xdr:from>
    <xdr:to>
      <xdr:col>1</xdr:col>
      <xdr:colOff>790575</xdr:colOff>
      <xdr:row>26</xdr:row>
      <xdr:rowOff>95250</xdr:rowOff>
    </xdr:to>
    <xdr:cxnSp macro="">
      <xdr:nvCxnSpPr>
        <xdr:cNvPr id="13" name="Conector de Seta Reta 12">
          <a:extLst>
            <a:ext uri="{FF2B5EF4-FFF2-40B4-BE49-F238E27FC236}">
              <a16:creationId xmlns="" xmlns:a16="http://schemas.microsoft.com/office/drawing/2014/main" id="{00000000-0008-0000-0700-00000D000000}"/>
            </a:ext>
          </a:extLst>
        </xdr:cNvPr>
        <xdr:cNvCxnSpPr/>
      </xdr:nvCxnSpPr>
      <xdr:spPr>
        <a:xfrm>
          <a:off x="2581275" y="50577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152400</xdr:colOff>
      <xdr:row>27</xdr:row>
      <xdr:rowOff>114300</xdr:rowOff>
    </xdr:from>
    <xdr:to>
      <xdr:col>1</xdr:col>
      <xdr:colOff>428625</xdr:colOff>
      <xdr:row>27</xdr:row>
      <xdr:rowOff>114300</xdr:rowOff>
    </xdr:to>
    <xdr:cxnSp macro="">
      <xdr:nvCxnSpPr>
        <xdr:cNvPr id="14" name="Conector de Seta Reta 13">
          <a:extLst>
            <a:ext uri="{FF2B5EF4-FFF2-40B4-BE49-F238E27FC236}">
              <a16:creationId xmlns="" xmlns:a16="http://schemas.microsoft.com/office/drawing/2014/main" id="{00000000-0008-0000-0700-00000E000000}"/>
            </a:ext>
          </a:extLst>
        </xdr:cNvPr>
        <xdr:cNvCxnSpPr/>
      </xdr:nvCxnSpPr>
      <xdr:spPr>
        <a:xfrm>
          <a:off x="1666875" y="488632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152400</xdr:colOff>
      <xdr:row>28</xdr:row>
      <xdr:rowOff>114300</xdr:rowOff>
    </xdr:from>
    <xdr:to>
      <xdr:col>1</xdr:col>
      <xdr:colOff>428625</xdr:colOff>
      <xdr:row>28</xdr:row>
      <xdr:rowOff>114300</xdr:rowOff>
    </xdr:to>
    <xdr:cxnSp macro="">
      <xdr:nvCxnSpPr>
        <xdr:cNvPr id="15" name="Conector de Seta Reta 14">
          <a:extLst>
            <a:ext uri="{FF2B5EF4-FFF2-40B4-BE49-F238E27FC236}">
              <a16:creationId xmlns="" xmlns:a16="http://schemas.microsoft.com/office/drawing/2014/main" id="{00000000-0008-0000-0700-00000F000000}"/>
            </a:ext>
          </a:extLst>
        </xdr:cNvPr>
        <xdr:cNvCxnSpPr/>
      </xdr:nvCxnSpPr>
      <xdr:spPr>
        <a:xfrm>
          <a:off x="1666875" y="526732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152400</xdr:colOff>
      <xdr:row>29</xdr:row>
      <xdr:rowOff>114300</xdr:rowOff>
    </xdr:from>
    <xdr:to>
      <xdr:col>1</xdr:col>
      <xdr:colOff>428625</xdr:colOff>
      <xdr:row>29</xdr:row>
      <xdr:rowOff>114300</xdr:rowOff>
    </xdr:to>
    <xdr:cxnSp macro="">
      <xdr:nvCxnSpPr>
        <xdr:cNvPr id="17" name="Conector de Seta Reta 16">
          <a:extLst>
            <a:ext uri="{FF2B5EF4-FFF2-40B4-BE49-F238E27FC236}">
              <a16:creationId xmlns="" xmlns:a16="http://schemas.microsoft.com/office/drawing/2014/main" id="{00000000-0008-0000-0700-000011000000}"/>
            </a:ext>
          </a:extLst>
        </xdr:cNvPr>
        <xdr:cNvCxnSpPr/>
      </xdr:nvCxnSpPr>
      <xdr:spPr>
        <a:xfrm>
          <a:off x="1666875" y="545782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152400</xdr:colOff>
      <xdr:row>30</xdr:row>
      <xdr:rowOff>114300</xdr:rowOff>
    </xdr:from>
    <xdr:to>
      <xdr:col>1</xdr:col>
      <xdr:colOff>428625</xdr:colOff>
      <xdr:row>30</xdr:row>
      <xdr:rowOff>114300</xdr:rowOff>
    </xdr:to>
    <xdr:cxnSp macro="">
      <xdr:nvCxnSpPr>
        <xdr:cNvPr id="18" name="Conector de Seta Reta 17">
          <a:extLst>
            <a:ext uri="{FF2B5EF4-FFF2-40B4-BE49-F238E27FC236}">
              <a16:creationId xmlns="" xmlns:a16="http://schemas.microsoft.com/office/drawing/2014/main" id="{00000000-0008-0000-0700-000012000000}"/>
            </a:ext>
          </a:extLst>
        </xdr:cNvPr>
        <xdr:cNvCxnSpPr/>
      </xdr:nvCxnSpPr>
      <xdr:spPr>
        <a:xfrm>
          <a:off x="1666875" y="564832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152400</xdr:colOff>
      <xdr:row>33</xdr:row>
      <xdr:rowOff>114300</xdr:rowOff>
    </xdr:from>
    <xdr:to>
      <xdr:col>1</xdr:col>
      <xdr:colOff>428625</xdr:colOff>
      <xdr:row>33</xdr:row>
      <xdr:rowOff>114300</xdr:rowOff>
    </xdr:to>
    <xdr:cxnSp macro="">
      <xdr:nvCxnSpPr>
        <xdr:cNvPr id="19" name="Conector de Seta Reta 18">
          <a:extLst>
            <a:ext uri="{FF2B5EF4-FFF2-40B4-BE49-F238E27FC236}">
              <a16:creationId xmlns="" xmlns:a16="http://schemas.microsoft.com/office/drawing/2014/main" id="{00000000-0008-0000-0700-000013000000}"/>
            </a:ext>
          </a:extLst>
        </xdr:cNvPr>
        <xdr:cNvCxnSpPr/>
      </xdr:nvCxnSpPr>
      <xdr:spPr>
        <a:xfrm>
          <a:off x="1666875" y="583882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152400</xdr:colOff>
      <xdr:row>53</xdr:row>
      <xdr:rowOff>114300</xdr:rowOff>
    </xdr:from>
    <xdr:to>
      <xdr:col>1</xdr:col>
      <xdr:colOff>428625</xdr:colOff>
      <xdr:row>53</xdr:row>
      <xdr:rowOff>114300</xdr:rowOff>
    </xdr:to>
    <xdr:cxnSp macro="">
      <xdr:nvCxnSpPr>
        <xdr:cNvPr id="20" name="Conector de Seta Reta 19">
          <a:extLst>
            <a:ext uri="{FF2B5EF4-FFF2-40B4-BE49-F238E27FC236}">
              <a16:creationId xmlns="" xmlns:a16="http://schemas.microsoft.com/office/drawing/2014/main" id="{00000000-0008-0000-0700-000014000000}"/>
            </a:ext>
          </a:extLst>
        </xdr:cNvPr>
        <xdr:cNvCxnSpPr/>
      </xdr:nvCxnSpPr>
      <xdr:spPr>
        <a:xfrm>
          <a:off x="1666875" y="641032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152400</xdr:colOff>
      <xdr:row>54</xdr:row>
      <xdr:rowOff>123825</xdr:rowOff>
    </xdr:from>
    <xdr:to>
      <xdr:col>1</xdr:col>
      <xdr:colOff>428625</xdr:colOff>
      <xdr:row>54</xdr:row>
      <xdr:rowOff>123825</xdr:rowOff>
    </xdr:to>
    <xdr:cxnSp macro="">
      <xdr:nvCxnSpPr>
        <xdr:cNvPr id="24" name="Conector de Seta Reta 23">
          <a:extLst>
            <a:ext uri="{FF2B5EF4-FFF2-40B4-BE49-F238E27FC236}">
              <a16:creationId xmlns="" xmlns:a16="http://schemas.microsoft.com/office/drawing/2014/main" id="{00000000-0008-0000-0700-000018000000}"/>
            </a:ext>
          </a:extLst>
        </xdr:cNvPr>
        <xdr:cNvCxnSpPr/>
      </xdr:nvCxnSpPr>
      <xdr:spPr>
        <a:xfrm>
          <a:off x="1666875" y="11182350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152400</xdr:colOff>
      <xdr:row>56</xdr:row>
      <xdr:rowOff>123825</xdr:rowOff>
    </xdr:from>
    <xdr:to>
      <xdr:col>1</xdr:col>
      <xdr:colOff>428625</xdr:colOff>
      <xdr:row>56</xdr:row>
      <xdr:rowOff>123825</xdr:rowOff>
    </xdr:to>
    <xdr:cxnSp macro="">
      <xdr:nvCxnSpPr>
        <xdr:cNvPr id="25" name="Conector de Seta Reta 24">
          <a:extLst>
            <a:ext uri="{FF2B5EF4-FFF2-40B4-BE49-F238E27FC236}">
              <a16:creationId xmlns="" xmlns:a16="http://schemas.microsoft.com/office/drawing/2014/main" id="{00000000-0008-0000-0700-000019000000}"/>
            </a:ext>
          </a:extLst>
        </xdr:cNvPr>
        <xdr:cNvCxnSpPr/>
      </xdr:nvCxnSpPr>
      <xdr:spPr>
        <a:xfrm>
          <a:off x="1666875" y="11753850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142875</xdr:colOff>
      <xdr:row>8</xdr:row>
      <xdr:rowOff>95250</xdr:rowOff>
    </xdr:from>
    <xdr:to>
      <xdr:col>3</xdr:col>
      <xdr:colOff>419100</xdr:colOff>
      <xdr:row>8</xdr:row>
      <xdr:rowOff>95250</xdr:rowOff>
    </xdr:to>
    <xdr:cxnSp macro="">
      <xdr:nvCxnSpPr>
        <xdr:cNvPr id="2" name="Conector de Seta Reta 1">
          <a:extLst>
            <a:ext uri="{FF2B5EF4-FFF2-40B4-BE49-F238E27FC236}">
              <a16:creationId xmlns="" xmlns:a16="http://schemas.microsoft.com/office/drawing/2014/main" id="{B8682FBE-0E81-46F4-937E-C4A51921795F}"/>
            </a:ext>
          </a:extLst>
        </xdr:cNvPr>
        <xdr:cNvCxnSpPr/>
      </xdr:nvCxnSpPr>
      <xdr:spPr>
        <a:xfrm>
          <a:off x="3667125" y="16287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495300</xdr:colOff>
      <xdr:row>8</xdr:row>
      <xdr:rowOff>171450</xdr:rowOff>
    </xdr:from>
    <xdr:to>
      <xdr:col>4</xdr:col>
      <xdr:colOff>28575</xdr:colOff>
      <xdr:row>9</xdr:row>
      <xdr:rowOff>133350</xdr:rowOff>
    </xdr:to>
    <xdr:cxnSp macro="">
      <xdr:nvCxnSpPr>
        <xdr:cNvPr id="3" name="Conector de Seta Reta 2">
          <a:extLst>
            <a:ext uri="{FF2B5EF4-FFF2-40B4-BE49-F238E27FC236}">
              <a16:creationId xmlns="" xmlns:a16="http://schemas.microsoft.com/office/drawing/2014/main" id="{133C8AFF-B59E-4EF4-9CF6-3537E5C51E32}"/>
            </a:ext>
          </a:extLst>
        </xdr:cNvPr>
        <xdr:cNvCxnSpPr/>
      </xdr:nvCxnSpPr>
      <xdr:spPr>
        <a:xfrm flipV="1">
          <a:off x="4019550" y="1704975"/>
          <a:ext cx="1323975" cy="15240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152400</xdr:colOff>
      <xdr:row>21</xdr:row>
      <xdr:rowOff>114300</xdr:rowOff>
    </xdr:from>
    <xdr:to>
      <xdr:col>3</xdr:col>
      <xdr:colOff>428625</xdr:colOff>
      <xdr:row>21</xdr:row>
      <xdr:rowOff>114300</xdr:rowOff>
    </xdr:to>
    <xdr:cxnSp macro="">
      <xdr:nvCxnSpPr>
        <xdr:cNvPr id="4" name="Conector de Seta Reta 3">
          <a:extLst>
            <a:ext uri="{FF2B5EF4-FFF2-40B4-BE49-F238E27FC236}">
              <a16:creationId xmlns="" xmlns:a16="http://schemas.microsoft.com/office/drawing/2014/main" id="{ADBAFDA6-587F-42FE-AB33-542D5C5812EA}"/>
            </a:ext>
          </a:extLst>
        </xdr:cNvPr>
        <xdr:cNvCxnSpPr/>
      </xdr:nvCxnSpPr>
      <xdr:spPr>
        <a:xfrm>
          <a:off x="3676650" y="412432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152400</xdr:colOff>
      <xdr:row>22</xdr:row>
      <xdr:rowOff>114300</xdr:rowOff>
    </xdr:from>
    <xdr:to>
      <xdr:col>3</xdr:col>
      <xdr:colOff>428625</xdr:colOff>
      <xdr:row>22</xdr:row>
      <xdr:rowOff>114300</xdr:rowOff>
    </xdr:to>
    <xdr:cxnSp macro="">
      <xdr:nvCxnSpPr>
        <xdr:cNvPr id="6" name="Conector de Seta Reta 5">
          <a:extLst>
            <a:ext uri="{FF2B5EF4-FFF2-40B4-BE49-F238E27FC236}">
              <a16:creationId xmlns="" xmlns:a16="http://schemas.microsoft.com/office/drawing/2014/main" id="{8B9E1248-57E0-4D2F-A527-58A234CFD4DF}"/>
            </a:ext>
          </a:extLst>
        </xdr:cNvPr>
        <xdr:cNvCxnSpPr/>
      </xdr:nvCxnSpPr>
      <xdr:spPr>
        <a:xfrm>
          <a:off x="3676650" y="431482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57150</xdr:colOff>
      <xdr:row>23</xdr:row>
      <xdr:rowOff>95250</xdr:rowOff>
    </xdr:from>
    <xdr:to>
      <xdr:col>4</xdr:col>
      <xdr:colOff>190500</xdr:colOff>
      <xdr:row>23</xdr:row>
      <xdr:rowOff>123825</xdr:rowOff>
    </xdr:to>
    <xdr:cxnSp macro="">
      <xdr:nvCxnSpPr>
        <xdr:cNvPr id="16" name="Conector de Seta Reta 15">
          <a:extLst>
            <a:ext uri="{FF2B5EF4-FFF2-40B4-BE49-F238E27FC236}">
              <a16:creationId xmlns="" xmlns:a16="http://schemas.microsoft.com/office/drawing/2014/main" id="{0C1E3E5A-A2B0-4293-A083-AEA67ECC23B7}"/>
            </a:ext>
          </a:extLst>
        </xdr:cNvPr>
        <xdr:cNvCxnSpPr/>
      </xdr:nvCxnSpPr>
      <xdr:spPr>
        <a:xfrm>
          <a:off x="5372100" y="4486275"/>
          <a:ext cx="133350" cy="28575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152400</xdr:colOff>
      <xdr:row>24</xdr:row>
      <xdr:rowOff>114300</xdr:rowOff>
    </xdr:from>
    <xdr:to>
      <xdr:col>1</xdr:col>
      <xdr:colOff>428625</xdr:colOff>
      <xdr:row>24</xdr:row>
      <xdr:rowOff>114300</xdr:rowOff>
    </xdr:to>
    <xdr:cxnSp macro="">
      <xdr:nvCxnSpPr>
        <xdr:cNvPr id="27" name="Conector de Seta Reta 26">
          <a:extLst>
            <a:ext uri="{FF2B5EF4-FFF2-40B4-BE49-F238E27FC236}">
              <a16:creationId xmlns="" xmlns:a16="http://schemas.microsoft.com/office/drawing/2014/main" id="{E43782E7-1528-426B-BAD9-1E42BD2F12BB}"/>
            </a:ext>
          </a:extLst>
        </xdr:cNvPr>
        <xdr:cNvCxnSpPr/>
      </xdr:nvCxnSpPr>
      <xdr:spPr>
        <a:xfrm>
          <a:off x="1666875" y="469582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152400</xdr:colOff>
      <xdr:row>25</xdr:row>
      <xdr:rowOff>114300</xdr:rowOff>
    </xdr:from>
    <xdr:to>
      <xdr:col>1</xdr:col>
      <xdr:colOff>428625</xdr:colOff>
      <xdr:row>25</xdr:row>
      <xdr:rowOff>114300</xdr:rowOff>
    </xdr:to>
    <xdr:cxnSp macro="">
      <xdr:nvCxnSpPr>
        <xdr:cNvPr id="28" name="Conector de Seta Reta 27">
          <a:extLst>
            <a:ext uri="{FF2B5EF4-FFF2-40B4-BE49-F238E27FC236}">
              <a16:creationId xmlns="" xmlns:a16="http://schemas.microsoft.com/office/drawing/2014/main" id="{01701FB2-795F-4D91-968B-5EE4DC870D2C}"/>
            </a:ext>
          </a:extLst>
        </xdr:cNvPr>
        <xdr:cNvCxnSpPr/>
      </xdr:nvCxnSpPr>
      <xdr:spPr>
        <a:xfrm>
          <a:off x="1666875" y="488632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26</xdr:row>
      <xdr:rowOff>95250</xdr:rowOff>
    </xdr:from>
    <xdr:to>
      <xdr:col>1</xdr:col>
      <xdr:colOff>790575</xdr:colOff>
      <xdr:row>26</xdr:row>
      <xdr:rowOff>95250</xdr:rowOff>
    </xdr:to>
    <xdr:cxnSp macro="">
      <xdr:nvCxnSpPr>
        <xdr:cNvPr id="29" name="Conector de Seta Reta 28">
          <a:extLst>
            <a:ext uri="{FF2B5EF4-FFF2-40B4-BE49-F238E27FC236}">
              <a16:creationId xmlns="" xmlns:a16="http://schemas.microsoft.com/office/drawing/2014/main" id="{16E5039E-D9F8-436F-A6A9-59EF531D934D}"/>
            </a:ext>
          </a:extLst>
        </xdr:cNvPr>
        <xdr:cNvCxnSpPr/>
      </xdr:nvCxnSpPr>
      <xdr:spPr>
        <a:xfrm>
          <a:off x="2028825" y="5057775"/>
          <a:ext cx="3810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152400</xdr:colOff>
      <xdr:row>27</xdr:row>
      <xdr:rowOff>114300</xdr:rowOff>
    </xdr:from>
    <xdr:to>
      <xdr:col>1</xdr:col>
      <xdr:colOff>428625</xdr:colOff>
      <xdr:row>27</xdr:row>
      <xdr:rowOff>114300</xdr:rowOff>
    </xdr:to>
    <xdr:cxnSp macro="">
      <xdr:nvCxnSpPr>
        <xdr:cNvPr id="30" name="Conector de Seta Reta 29">
          <a:extLst>
            <a:ext uri="{FF2B5EF4-FFF2-40B4-BE49-F238E27FC236}">
              <a16:creationId xmlns="" xmlns:a16="http://schemas.microsoft.com/office/drawing/2014/main" id="{270ED2C3-FC5E-41CC-AFC4-4BFA4D2779FA}"/>
            </a:ext>
          </a:extLst>
        </xdr:cNvPr>
        <xdr:cNvCxnSpPr/>
      </xdr:nvCxnSpPr>
      <xdr:spPr>
        <a:xfrm>
          <a:off x="1666875" y="526732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152400</xdr:colOff>
      <xdr:row>28</xdr:row>
      <xdr:rowOff>114300</xdr:rowOff>
    </xdr:from>
    <xdr:to>
      <xdr:col>1</xdr:col>
      <xdr:colOff>428625</xdr:colOff>
      <xdr:row>28</xdr:row>
      <xdr:rowOff>114300</xdr:rowOff>
    </xdr:to>
    <xdr:cxnSp macro="">
      <xdr:nvCxnSpPr>
        <xdr:cNvPr id="31" name="Conector de Seta Reta 30">
          <a:extLst>
            <a:ext uri="{FF2B5EF4-FFF2-40B4-BE49-F238E27FC236}">
              <a16:creationId xmlns="" xmlns:a16="http://schemas.microsoft.com/office/drawing/2014/main" id="{B0FA3373-550E-484B-B5C7-2D99F365131F}"/>
            </a:ext>
          </a:extLst>
        </xdr:cNvPr>
        <xdr:cNvCxnSpPr/>
      </xdr:nvCxnSpPr>
      <xdr:spPr>
        <a:xfrm>
          <a:off x="1666875" y="545782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152400</xdr:colOff>
      <xdr:row>29</xdr:row>
      <xdr:rowOff>114300</xdr:rowOff>
    </xdr:from>
    <xdr:to>
      <xdr:col>1</xdr:col>
      <xdr:colOff>428625</xdr:colOff>
      <xdr:row>29</xdr:row>
      <xdr:rowOff>114300</xdr:rowOff>
    </xdr:to>
    <xdr:cxnSp macro="">
      <xdr:nvCxnSpPr>
        <xdr:cNvPr id="32" name="Conector de Seta Reta 31">
          <a:extLst>
            <a:ext uri="{FF2B5EF4-FFF2-40B4-BE49-F238E27FC236}">
              <a16:creationId xmlns="" xmlns:a16="http://schemas.microsoft.com/office/drawing/2014/main" id="{D4A7C69F-818E-4B99-9393-7A0B64C47672}"/>
            </a:ext>
          </a:extLst>
        </xdr:cNvPr>
        <xdr:cNvCxnSpPr/>
      </xdr:nvCxnSpPr>
      <xdr:spPr>
        <a:xfrm>
          <a:off x="1666875" y="564832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152400</xdr:colOff>
      <xdr:row>30</xdr:row>
      <xdr:rowOff>114300</xdr:rowOff>
    </xdr:from>
    <xdr:to>
      <xdr:col>1</xdr:col>
      <xdr:colOff>428625</xdr:colOff>
      <xdr:row>30</xdr:row>
      <xdr:rowOff>114300</xdr:rowOff>
    </xdr:to>
    <xdr:cxnSp macro="">
      <xdr:nvCxnSpPr>
        <xdr:cNvPr id="33" name="Conector de Seta Reta 32">
          <a:extLst>
            <a:ext uri="{FF2B5EF4-FFF2-40B4-BE49-F238E27FC236}">
              <a16:creationId xmlns="" xmlns:a16="http://schemas.microsoft.com/office/drawing/2014/main" id="{110FD510-8911-4EF6-B0FD-5E970CBCF8B0}"/>
            </a:ext>
          </a:extLst>
        </xdr:cNvPr>
        <xdr:cNvCxnSpPr/>
      </xdr:nvCxnSpPr>
      <xdr:spPr>
        <a:xfrm>
          <a:off x="1666875" y="583882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152400</xdr:colOff>
      <xdr:row>33</xdr:row>
      <xdr:rowOff>114300</xdr:rowOff>
    </xdr:from>
    <xdr:to>
      <xdr:col>1</xdr:col>
      <xdr:colOff>428625</xdr:colOff>
      <xdr:row>33</xdr:row>
      <xdr:rowOff>114300</xdr:rowOff>
    </xdr:to>
    <xdr:cxnSp macro="">
      <xdr:nvCxnSpPr>
        <xdr:cNvPr id="34" name="Conector de Seta Reta 33">
          <a:extLst>
            <a:ext uri="{FF2B5EF4-FFF2-40B4-BE49-F238E27FC236}">
              <a16:creationId xmlns="" xmlns:a16="http://schemas.microsoft.com/office/drawing/2014/main" id="{044F01A0-3517-499F-914D-94A240A04814}"/>
            </a:ext>
          </a:extLst>
        </xdr:cNvPr>
        <xdr:cNvCxnSpPr/>
      </xdr:nvCxnSpPr>
      <xdr:spPr>
        <a:xfrm>
          <a:off x="1666875" y="641032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152400</xdr:colOff>
      <xdr:row>53</xdr:row>
      <xdr:rowOff>114300</xdr:rowOff>
    </xdr:from>
    <xdr:to>
      <xdr:col>1</xdr:col>
      <xdr:colOff>428625</xdr:colOff>
      <xdr:row>53</xdr:row>
      <xdr:rowOff>114300</xdr:rowOff>
    </xdr:to>
    <xdr:cxnSp macro="">
      <xdr:nvCxnSpPr>
        <xdr:cNvPr id="35" name="Conector de Seta Reta 34">
          <a:extLst>
            <a:ext uri="{FF2B5EF4-FFF2-40B4-BE49-F238E27FC236}">
              <a16:creationId xmlns="" xmlns:a16="http://schemas.microsoft.com/office/drawing/2014/main" id="{7008FA01-56D9-4BAE-B59D-68A84C7CC42D}"/>
            </a:ext>
          </a:extLst>
        </xdr:cNvPr>
        <xdr:cNvCxnSpPr/>
      </xdr:nvCxnSpPr>
      <xdr:spPr>
        <a:xfrm>
          <a:off x="1666875" y="1079182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152400</xdr:colOff>
      <xdr:row>54</xdr:row>
      <xdr:rowOff>123825</xdr:rowOff>
    </xdr:from>
    <xdr:to>
      <xdr:col>1</xdr:col>
      <xdr:colOff>428625</xdr:colOff>
      <xdr:row>54</xdr:row>
      <xdr:rowOff>123825</xdr:rowOff>
    </xdr:to>
    <xdr:cxnSp macro="">
      <xdr:nvCxnSpPr>
        <xdr:cNvPr id="39" name="Conector de Seta Reta 38">
          <a:extLst>
            <a:ext uri="{FF2B5EF4-FFF2-40B4-BE49-F238E27FC236}">
              <a16:creationId xmlns="" xmlns:a16="http://schemas.microsoft.com/office/drawing/2014/main" id="{DC57A0FB-78C1-413D-BC53-55C24C99C8F3}"/>
            </a:ext>
          </a:extLst>
        </xdr:cNvPr>
        <xdr:cNvCxnSpPr/>
      </xdr:nvCxnSpPr>
      <xdr:spPr>
        <a:xfrm>
          <a:off x="1666875" y="11753850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152400</xdr:colOff>
      <xdr:row>56</xdr:row>
      <xdr:rowOff>123825</xdr:rowOff>
    </xdr:from>
    <xdr:to>
      <xdr:col>1</xdr:col>
      <xdr:colOff>428625</xdr:colOff>
      <xdr:row>56</xdr:row>
      <xdr:rowOff>123825</xdr:rowOff>
    </xdr:to>
    <xdr:cxnSp macro="">
      <xdr:nvCxnSpPr>
        <xdr:cNvPr id="40" name="Conector de Seta Reta 39">
          <a:extLst>
            <a:ext uri="{FF2B5EF4-FFF2-40B4-BE49-F238E27FC236}">
              <a16:creationId xmlns="" xmlns:a16="http://schemas.microsoft.com/office/drawing/2014/main" id="{4E4AA7D8-A525-4297-8881-150C1CD83AFC}"/>
            </a:ext>
          </a:extLst>
        </xdr:cNvPr>
        <xdr:cNvCxnSpPr/>
      </xdr:nvCxnSpPr>
      <xdr:spPr>
        <a:xfrm>
          <a:off x="1666875" y="12325350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hyperlink" Target="https://placafipe.com/placa/IZY8D53" TargetMode="External"/><Relationship Id="rId1" Type="http://schemas.openxmlformats.org/officeDocument/2006/relationships/hyperlink" Target="https://www.detran.rs.gov.br/com-virada-do-ano-detranrs-comeca-a-gerar-documentos-do-licenciamento-2023" TargetMode="Externa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31"/>
  <sheetViews>
    <sheetView workbookViewId="0">
      <selection activeCell="B6" sqref="B6"/>
    </sheetView>
  </sheetViews>
  <sheetFormatPr defaultRowHeight="15"/>
  <cols>
    <col min="2" max="2" width="73.5703125" bestFit="1" customWidth="1"/>
    <col min="3" max="3" width="17.85546875" customWidth="1"/>
  </cols>
  <sheetData>
    <row r="1" spans="2:3">
      <c r="B1" s="299" t="s">
        <v>168</v>
      </c>
      <c r="C1" s="300"/>
    </row>
    <row r="2" spans="2:3">
      <c r="B2" s="54" t="s">
        <v>155</v>
      </c>
      <c r="C2" s="55"/>
    </row>
    <row r="3" spans="2:3">
      <c r="B3" s="56" t="s">
        <v>5</v>
      </c>
      <c r="C3" s="57">
        <v>808</v>
      </c>
    </row>
    <row r="4" spans="2:3">
      <c r="B4" s="58" t="s">
        <v>6</v>
      </c>
      <c r="C4" s="57">
        <v>765</v>
      </c>
    </row>
    <row r="5" spans="2:3">
      <c r="B5" s="59" t="s">
        <v>7</v>
      </c>
      <c r="C5" s="60">
        <v>2</v>
      </c>
    </row>
    <row r="6" spans="2:3">
      <c r="B6" s="59" t="s">
        <v>8</v>
      </c>
      <c r="C6" s="60">
        <v>504</v>
      </c>
    </row>
    <row r="7" spans="2:3">
      <c r="B7" s="59" t="s">
        <v>9</v>
      </c>
      <c r="C7" s="60">
        <v>130</v>
      </c>
    </row>
    <row r="8" spans="2:3">
      <c r="B8" s="59" t="s">
        <v>10</v>
      </c>
      <c r="C8" s="60">
        <v>6</v>
      </c>
    </row>
    <row r="9" spans="2:3">
      <c r="B9" s="59" t="s">
        <v>11</v>
      </c>
      <c r="C9" s="60">
        <v>116</v>
      </c>
    </row>
    <row r="10" spans="2:3">
      <c r="B10" s="59" t="s">
        <v>12</v>
      </c>
      <c r="C10" s="60">
        <v>1</v>
      </c>
    </row>
    <row r="11" spans="2:3">
      <c r="B11" s="59" t="s">
        <v>13</v>
      </c>
      <c r="C11" s="60">
        <v>3</v>
      </c>
    </row>
    <row r="12" spans="2:3">
      <c r="B12" s="61" t="s">
        <v>14</v>
      </c>
      <c r="C12" s="62">
        <v>0</v>
      </c>
    </row>
    <row r="13" spans="2:3">
      <c r="B13" s="63" t="s">
        <v>15</v>
      </c>
      <c r="C13" s="62">
        <v>0</v>
      </c>
    </row>
    <row r="14" spans="2:3">
      <c r="B14" s="54" t="s">
        <v>16</v>
      </c>
      <c r="C14" s="64"/>
    </row>
    <row r="15" spans="2:3">
      <c r="B15" s="65" t="s">
        <v>187</v>
      </c>
      <c r="C15" s="66">
        <v>1711</v>
      </c>
    </row>
    <row r="16" spans="2:3">
      <c r="B16" s="59" t="s">
        <v>188</v>
      </c>
      <c r="C16" s="60">
        <v>43</v>
      </c>
    </row>
    <row r="17" spans="2:3">
      <c r="B17" s="59" t="s">
        <v>189</v>
      </c>
      <c r="C17" s="67">
        <f>C3-C4</f>
        <v>43</v>
      </c>
    </row>
    <row r="18" spans="2:3">
      <c r="B18" s="68"/>
      <c r="C18" s="69"/>
    </row>
    <row r="19" spans="2:3">
      <c r="B19" s="56" t="s">
        <v>17</v>
      </c>
      <c r="C19" s="70">
        <f>MEDIAN(C15,C16)</f>
        <v>877</v>
      </c>
    </row>
    <row r="20" spans="2:3">
      <c r="B20" s="58" t="s">
        <v>18</v>
      </c>
      <c r="C20" s="71">
        <f>C6/C19</f>
        <v>0.57468643101482331</v>
      </c>
    </row>
    <row r="21" spans="2:3">
      <c r="B21" s="58" t="s">
        <v>19</v>
      </c>
      <c r="C21" s="71">
        <f>MEDIAN(C3,C4)/C19</f>
        <v>0.89680729760547317</v>
      </c>
    </row>
    <row r="22" spans="2:3">
      <c r="B22" s="58" t="s">
        <v>20</v>
      </c>
      <c r="C22" s="72">
        <f>12/C21</f>
        <v>13.380801017164654</v>
      </c>
    </row>
    <row r="23" spans="2:3">
      <c r="B23" s="58" t="s">
        <v>21</v>
      </c>
      <c r="C23" s="73">
        <v>360</v>
      </c>
    </row>
    <row r="24" spans="2:3">
      <c r="B24" s="58" t="s">
        <v>22</v>
      </c>
      <c r="C24" s="73">
        <v>10</v>
      </c>
    </row>
    <row r="25" spans="2:3">
      <c r="B25" s="56" t="s">
        <v>23</v>
      </c>
      <c r="C25" s="74">
        <v>30</v>
      </c>
    </row>
    <row r="26" spans="2:3">
      <c r="B26" s="56" t="s">
        <v>24</v>
      </c>
      <c r="C26" s="74">
        <v>30</v>
      </c>
    </row>
    <row r="27" spans="2:3">
      <c r="B27" s="56" t="s">
        <v>25</v>
      </c>
      <c r="C27" s="75">
        <f>30+(3*TRUNC(1/C21))</f>
        <v>33</v>
      </c>
    </row>
    <row r="28" spans="2:3">
      <c r="B28" s="58" t="s">
        <v>26</v>
      </c>
      <c r="C28" s="76">
        <v>0.08</v>
      </c>
    </row>
    <row r="29" spans="2:3" ht="15.75" thickBot="1">
      <c r="B29" s="77" t="s">
        <v>27</v>
      </c>
      <c r="C29" s="78">
        <v>0.4</v>
      </c>
    </row>
    <row r="30" spans="2:3">
      <c r="B30" s="32"/>
      <c r="C30" s="32"/>
    </row>
    <row r="31" spans="2:3">
      <c r="B31" s="138" t="s">
        <v>207</v>
      </c>
      <c r="C31" s="32"/>
    </row>
  </sheetData>
  <sheetProtection formatCells="0" formatColumns="0" formatRows="0" insertColumns="0" insertRows="0" insertHyperlinks="0" deleteColumns="0" deleteRows="0" sort="0" autoFilter="0" pivotTables="0"/>
  <customSheetViews>
    <customSheetView guid="{89CA7707-C461-45FC-BB82-EE1A90F4B3E3}">
      <selection activeCell="C10" sqref="C10"/>
      <pageMargins left="0.51181102362204722" right="0.51181102362204722" top="0.78740157480314965" bottom="0.78740157480314965" header="0.31496062992125984" footer="0.31496062992125984"/>
      <pageSetup paperSize="9" scale="80" orientation="portrait" verticalDpi="0" r:id="rId1"/>
      <headerFooter>
        <oddFooter>&amp;C&amp;F&amp;D&amp;T</oddFooter>
      </headerFooter>
    </customSheetView>
  </customSheetViews>
  <mergeCells count="1">
    <mergeCell ref="B1:C1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80" orientation="landscape" r:id="rId2"/>
  <headerFooter>
    <oddHeader>&amp;C&amp;"-,Negrito"&amp;14MUNICIPIO DE CORONEL BARROSPlanilha de Composição de Custos Transporte Escolar - Linha 8 Lado Norte&amp;"-,Regular"&amp;11</oddHeader>
    <oddFooter>&amp;L&amp;F  - &amp;A&amp;C&amp;P&amp;R&amp;D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32"/>
  <sheetViews>
    <sheetView workbookViewId="0">
      <selection activeCell="H27" sqref="H27"/>
    </sheetView>
  </sheetViews>
  <sheetFormatPr defaultRowHeight="15"/>
  <cols>
    <col min="1" max="1" width="7.5703125" bestFit="1" customWidth="1"/>
    <col min="2" max="2" width="39.5703125" bestFit="1" customWidth="1"/>
    <col min="3" max="3" width="13.7109375" customWidth="1"/>
    <col min="6" max="6" width="12" customWidth="1"/>
  </cols>
  <sheetData>
    <row r="1" spans="1:6">
      <c r="A1" s="301" t="s">
        <v>28</v>
      </c>
      <c r="B1" s="302"/>
      <c r="C1" s="303"/>
      <c r="D1" s="32"/>
    </row>
    <row r="2" spans="1:6">
      <c r="A2" s="79" t="s">
        <v>29</v>
      </c>
      <c r="B2" s="80" t="s">
        <v>30</v>
      </c>
      <c r="C2" s="81" t="s">
        <v>31</v>
      </c>
      <c r="D2" s="32"/>
    </row>
    <row r="3" spans="1:6">
      <c r="A3" s="82" t="s">
        <v>32</v>
      </c>
      <c r="B3" s="83" t="s">
        <v>33</v>
      </c>
      <c r="C3" s="84">
        <v>0.2</v>
      </c>
      <c r="D3" s="32"/>
    </row>
    <row r="4" spans="1:6">
      <c r="A4" s="82" t="s">
        <v>34</v>
      </c>
      <c r="B4" s="83" t="s">
        <v>35</v>
      </c>
      <c r="C4" s="84">
        <v>1.4999999999999999E-2</v>
      </c>
      <c r="D4" s="32"/>
    </row>
    <row r="5" spans="1:6">
      <c r="A5" s="82" t="s">
        <v>36</v>
      </c>
      <c r="B5" s="83" t="s">
        <v>37</v>
      </c>
      <c r="C5" s="84">
        <v>0.01</v>
      </c>
      <c r="D5" s="32"/>
    </row>
    <row r="6" spans="1:6">
      <c r="A6" s="82" t="s">
        <v>38</v>
      </c>
      <c r="B6" s="83" t="s">
        <v>39</v>
      </c>
      <c r="C6" s="84">
        <v>2E-3</v>
      </c>
      <c r="D6" s="32"/>
    </row>
    <row r="7" spans="1:6">
      <c r="A7" s="82" t="s">
        <v>40</v>
      </c>
      <c r="B7" s="83" t="s">
        <v>41</v>
      </c>
      <c r="C7" s="84">
        <v>6.0000000000000001E-3</v>
      </c>
      <c r="D7" s="32"/>
    </row>
    <row r="8" spans="1:6">
      <c r="A8" s="82" t="s">
        <v>42</v>
      </c>
      <c r="B8" s="83" t="s">
        <v>43</v>
      </c>
      <c r="C8" s="84">
        <v>2.5000000000000001E-2</v>
      </c>
      <c r="D8" s="32"/>
    </row>
    <row r="9" spans="1:6">
      <c r="A9" s="82" t="s">
        <v>44</v>
      </c>
      <c r="B9" s="83" t="s">
        <v>45</v>
      </c>
      <c r="C9" s="84">
        <v>0.03</v>
      </c>
      <c r="D9" s="32"/>
    </row>
    <row r="10" spans="1:6">
      <c r="A10" s="82" t="s">
        <v>46</v>
      </c>
      <c r="B10" s="83" t="s">
        <v>26</v>
      </c>
      <c r="C10" s="84">
        <v>0.08</v>
      </c>
      <c r="D10" s="32"/>
    </row>
    <row r="11" spans="1:6">
      <c r="A11" s="82" t="s">
        <v>47</v>
      </c>
      <c r="B11" s="85" t="s">
        <v>48</v>
      </c>
      <c r="C11" s="86">
        <f>SUM(C3:C10)</f>
        <v>0.36800000000000005</v>
      </c>
      <c r="D11" s="27" t="s">
        <v>295</v>
      </c>
      <c r="E11" s="30"/>
      <c r="F11" s="26"/>
    </row>
    <row r="12" spans="1:6">
      <c r="A12" s="87"/>
      <c r="B12" s="88"/>
      <c r="C12" s="89"/>
      <c r="D12" s="32"/>
    </row>
    <row r="13" spans="1:6">
      <c r="A13" s="82" t="s">
        <v>49</v>
      </c>
      <c r="B13" s="90" t="s">
        <v>50</v>
      </c>
      <c r="C13" s="91">
        <f>ROUND(IF(CAGED!C22&gt;24,(1-12/CAGED!C22)*0.1111,0.1111-C22),4)</f>
        <v>1.15E-2</v>
      </c>
      <c r="D13" s="32"/>
    </row>
    <row r="14" spans="1:6">
      <c r="A14" s="82" t="s">
        <v>51</v>
      </c>
      <c r="B14" s="90" t="s">
        <v>52</v>
      </c>
      <c r="C14" s="84">
        <f>ROUND(CAGED!C26/CAGED!C23,4)</f>
        <v>8.3299999999999999E-2</v>
      </c>
      <c r="D14" s="32"/>
    </row>
    <row r="15" spans="1:6">
      <c r="A15" s="82" t="s">
        <v>53</v>
      </c>
      <c r="B15" s="90" t="s">
        <v>54</v>
      </c>
      <c r="C15" s="92">
        <v>5.9999999999999995E-4</v>
      </c>
      <c r="D15" s="32"/>
    </row>
    <row r="16" spans="1:6">
      <c r="A16" s="82" t="s">
        <v>55</v>
      </c>
      <c r="B16" s="90" t="s">
        <v>56</v>
      </c>
      <c r="C16" s="92">
        <v>8.2000000000000007E-3</v>
      </c>
      <c r="D16" s="32"/>
    </row>
    <row r="17" spans="1:5">
      <c r="A17" s="82" t="s">
        <v>57</v>
      </c>
      <c r="B17" s="90" t="s">
        <v>58</v>
      </c>
      <c r="C17" s="92">
        <v>1E-4</v>
      </c>
      <c r="D17" s="32"/>
    </row>
    <row r="18" spans="1:5">
      <c r="A18" s="82" t="s">
        <v>59</v>
      </c>
      <c r="B18" s="90" t="s">
        <v>60</v>
      </c>
      <c r="C18" s="92">
        <v>1.66E-2</v>
      </c>
      <c r="D18" s="32"/>
    </row>
    <row r="19" spans="1:5">
      <c r="A19" s="82" t="s">
        <v>61</v>
      </c>
      <c r="B19" s="85" t="s">
        <v>62</v>
      </c>
      <c r="C19" s="86">
        <f>SUM(C13:C18)</f>
        <v>0.1203</v>
      </c>
      <c r="D19" s="32"/>
    </row>
    <row r="20" spans="1:5">
      <c r="A20" s="87"/>
      <c r="B20" s="88"/>
      <c r="C20" s="89"/>
      <c r="D20" s="32"/>
    </row>
    <row r="21" spans="1:5">
      <c r="A21" s="82" t="s">
        <v>63</v>
      </c>
      <c r="B21" s="83" t="s">
        <v>64</v>
      </c>
      <c r="C21" s="84">
        <f>ROUND((CAGED!C27) *CAGED!C20/CAGED!C23,4)</f>
        <v>5.2699999999999997E-2</v>
      </c>
      <c r="D21" s="32"/>
    </row>
    <row r="22" spans="1:5">
      <c r="A22" s="82" t="s">
        <v>65</v>
      </c>
      <c r="B22" s="83" t="s">
        <v>66</v>
      </c>
      <c r="C22" s="84">
        <f>ROUND(IF(CAGED!C22&gt;12,12/CAGED!C22*0.1111,0.1111),4)</f>
        <v>9.9599999999999994E-2</v>
      </c>
      <c r="D22" s="32"/>
    </row>
    <row r="23" spans="1:5">
      <c r="A23" s="82" t="s">
        <v>67</v>
      </c>
      <c r="B23" s="83" t="s">
        <v>68</v>
      </c>
      <c r="C23" s="84">
        <f>C21*C22</f>
        <v>5.2489199999999998E-3</v>
      </c>
      <c r="D23" s="32"/>
    </row>
    <row r="24" spans="1:5">
      <c r="A24" s="82" t="s">
        <v>69</v>
      </c>
      <c r="B24" s="83" t="s">
        <v>70</v>
      </c>
      <c r="C24" s="84">
        <f>ROUND((CAGED!C23+CAGED!C24+CAGED!C26)/CAGED!C21*CAGED!C28*CAGED!C29*CAGED!C20/CAGED!C23,4)</f>
        <v>2.2800000000000001E-2</v>
      </c>
      <c r="D24" s="32"/>
    </row>
    <row r="25" spans="1:5">
      <c r="A25" s="82" t="s">
        <v>71</v>
      </c>
      <c r="B25" s="83" t="s">
        <v>72</v>
      </c>
      <c r="C25" s="84">
        <f>ROUND((CAGED!C25/CAGED!C23)*CAGED!C20/12,4)</f>
        <v>4.0000000000000001E-3</v>
      </c>
      <c r="D25" s="32"/>
    </row>
    <row r="26" spans="1:5">
      <c r="A26" s="82" t="s">
        <v>73</v>
      </c>
      <c r="B26" s="85" t="s">
        <v>74</v>
      </c>
      <c r="C26" s="86">
        <f>SUM(C21:C25)</f>
        <v>0.18434891999999997</v>
      </c>
      <c r="D26" s="32"/>
    </row>
    <row r="27" spans="1:5">
      <c r="A27" s="87"/>
      <c r="B27" s="88"/>
      <c r="C27" s="89"/>
      <c r="D27" s="32"/>
      <c r="E27" t="s">
        <v>199</v>
      </c>
    </row>
    <row r="28" spans="1:5">
      <c r="A28" s="82" t="s">
        <v>75</v>
      </c>
      <c r="B28" s="83" t="s">
        <v>76</v>
      </c>
      <c r="C28" s="84">
        <f>ROUND(C11*C19,4)</f>
        <v>4.4299999999999999E-2</v>
      </c>
      <c r="D28" s="32"/>
    </row>
    <row r="29" spans="1:5" ht="30">
      <c r="A29" s="82" t="s">
        <v>77</v>
      </c>
      <c r="B29" s="93" t="s">
        <v>78</v>
      </c>
      <c r="C29" s="84">
        <f>ROUND((C21*C10),4)</f>
        <v>4.1999999999999997E-3</v>
      </c>
      <c r="D29" s="32"/>
    </row>
    <row r="30" spans="1:5">
      <c r="A30" s="82" t="s">
        <v>79</v>
      </c>
      <c r="B30" s="85" t="s">
        <v>80</v>
      </c>
      <c r="C30" s="86">
        <f>SUM(C28:C29)</f>
        <v>4.8500000000000001E-2</v>
      </c>
      <c r="D30" s="32"/>
    </row>
    <row r="31" spans="1:5" ht="15.75" thickBot="1">
      <c r="A31" s="94"/>
      <c r="B31" s="95" t="s">
        <v>81</v>
      </c>
      <c r="C31" s="96">
        <f>C30+C26+C19+C11</f>
        <v>0.72114892000000008</v>
      </c>
      <c r="D31" s="32"/>
    </row>
    <row r="32" spans="1:5">
      <c r="A32" s="137" t="s">
        <v>296</v>
      </c>
      <c r="B32" s="97"/>
      <c r="C32" s="97"/>
      <c r="D32" s="97"/>
    </row>
  </sheetData>
  <customSheetViews>
    <customSheetView guid="{89CA7707-C461-45FC-BB82-EE1A90F4B3E3}" topLeftCell="A13">
      <selection activeCell="C21" sqref="C21"/>
      <pageMargins left="0.51181102362204722" right="0.51181102362204722" top="0.78740157480314965" bottom="0.78740157480314965" header="0.31496062992125984" footer="0.31496062992125984"/>
      <pageSetup paperSize="9" orientation="portrait" verticalDpi="0" r:id="rId1"/>
      <headerFooter>
        <oddFooter>&amp;C&amp;F&amp;D&amp;T</oddFooter>
      </headerFooter>
    </customSheetView>
  </customSheetViews>
  <mergeCells count="1">
    <mergeCell ref="A1:C1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2"/>
  <headerFooter>
    <oddHeader>&amp;C&amp;"-,Negrito"&amp;14MUNICIPIO DE CORONEL BARROSPlanilha de Composição de Custos Transporte Escolar - Linha 8 Lado Norte</oddHeader>
    <oddFooter>&amp;L&amp;F   - &amp;A&amp;C&amp;P&amp;R&amp;D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9"/>
  <sheetViews>
    <sheetView tabSelected="1" workbookViewId="0">
      <selection activeCell="I14" sqref="I14"/>
    </sheetView>
  </sheetViews>
  <sheetFormatPr defaultRowHeight="15"/>
  <cols>
    <col min="1" max="1" width="44.85546875" bestFit="1" customWidth="1"/>
    <col min="2" max="2" width="16.140625" bestFit="1" customWidth="1"/>
    <col min="3" max="3" width="10.28515625" bestFit="1" customWidth="1"/>
    <col min="4" max="4" width="17.7109375" bestFit="1" customWidth="1"/>
    <col min="5" max="5" width="10.28515625" bestFit="1" customWidth="1"/>
    <col min="6" max="6" width="10.5703125" bestFit="1" customWidth="1"/>
  </cols>
  <sheetData>
    <row r="1" spans="1:11" ht="15.75" thickBot="1">
      <c r="A1" s="98" t="s">
        <v>105</v>
      </c>
      <c r="B1" s="99">
        <v>0.68179999999999996</v>
      </c>
      <c r="C1" s="32"/>
      <c r="D1" s="32"/>
      <c r="E1" s="32"/>
      <c r="F1" s="32"/>
    </row>
    <row r="2" spans="1:11" ht="15.75" thickBot="1">
      <c r="A2" s="32"/>
      <c r="B2" s="32"/>
      <c r="C2" s="32"/>
      <c r="D2" s="32"/>
      <c r="E2" s="32"/>
      <c r="F2" s="32"/>
    </row>
    <row r="3" spans="1:11" ht="15.75" thickBot="1">
      <c r="A3" s="304" t="s">
        <v>169</v>
      </c>
      <c r="B3" s="305"/>
      <c r="C3" s="305"/>
      <c r="D3" s="305"/>
      <c r="E3" s="305"/>
      <c r="F3" s="306"/>
    </row>
    <row r="4" spans="1:11" ht="15.75" thickBot="1">
      <c r="A4" s="100" t="s">
        <v>170</v>
      </c>
      <c r="B4" s="100"/>
      <c r="C4" s="100"/>
      <c r="D4" s="101"/>
      <c r="E4" s="101"/>
      <c r="F4" s="101"/>
    </row>
    <row r="5" spans="1:11" ht="15.75" thickBot="1">
      <c r="A5" s="102" t="s">
        <v>83</v>
      </c>
      <c r="B5" s="103" t="s">
        <v>84</v>
      </c>
      <c r="C5" s="103" t="s">
        <v>85</v>
      </c>
      <c r="D5" s="104" t="s">
        <v>86</v>
      </c>
      <c r="E5" s="104" t="s">
        <v>87</v>
      </c>
      <c r="F5" s="105" t="s">
        <v>211</v>
      </c>
    </row>
    <row r="6" spans="1:11">
      <c r="A6" s="106" t="s">
        <v>100</v>
      </c>
      <c r="B6" s="107" t="s">
        <v>88</v>
      </c>
      <c r="C6" s="107">
        <v>1</v>
      </c>
      <c r="D6" s="108">
        <v>3263.97</v>
      </c>
      <c r="E6" s="109">
        <f>C6*D6</f>
        <v>3263.97</v>
      </c>
      <c r="F6" s="27" t="s">
        <v>208</v>
      </c>
      <c r="G6" s="30"/>
      <c r="H6" s="30"/>
      <c r="I6" s="30"/>
      <c r="J6" s="30"/>
      <c r="K6" s="31"/>
    </row>
    <row r="7" spans="1:11">
      <c r="A7" s="106" t="s">
        <v>101</v>
      </c>
      <c r="B7" s="107" t="s">
        <v>88</v>
      </c>
      <c r="C7" s="107">
        <v>1</v>
      </c>
      <c r="D7" s="108">
        <v>1412</v>
      </c>
      <c r="E7" s="109"/>
      <c r="F7" s="101"/>
    </row>
    <row r="8" spans="1:11">
      <c r="A8" s="110" t="s">
        <v>89</v>
      </c>
      <c r="B8" s="111" t="s">
        <v>90</v>
      </c>
      <c r="C8" s="112">
        <v>0</v>
      </c>
      <c r="D8" s="113">
        <f>D6/220*2</f>
        <v>29.672454545454542</v>
      </c>
      <c r="E8" s="113">
        <f>C8*D8</f>
        <v>0</v>
      </c>
      <c r="F8" s="101"/>
    </row>
    <row r="9" spans="1:11">
      <c r="A9" s="110" t="s">
        <v>91</v>
      </c>
      <c r="B9" s="111" t="s">
        <v>90</v>
      </c>
      <c r="C9" s="112">
        <v>0</v>
      </c>
      <c r="D9" s="113">
        <f>D6/220*1.5</f>
        <v>22.254340909090907</v>
      </c>
      <c r="E9" s="113">
        <f>C9*D9</f>
        <v>0</v>
      </c>
      <c r="F9" s="101"/>
    </row>
    <row r="10" spans="1:11">
      <c r="A10" s="110" t="s">
        <v>92</v>
      </c>
      <c r="B10" s="111" t="s">
        <v>1</v>
      </c>
      <c r="C10" s="100"/>
      <c r="D10" s="113">
        <f>63/302*(SUM(E8:E9))</f>
        <v>0</v>
      </c>
      <c r="E10" s="113">
        <f>D10</f>
        <v>0</v>
      </c>
      <c r="F10" s="101"/>
    </row>
    <row r="11" spans="1:11">
      <c r="A11" s="110" t="s">
        <v>102</v>
      </c>
      <c r="B11" s="111"/>
      <c r="C11" s="114">
        <v>0</v>
      </c>
      <c r="D11" s="113"/>
      <c r="E11" s="113"/>
      <c r="F11" s="101"/>
    </row>
    <row r="12" spans="1:11">
      <c r="A12" s="110" t="s">
        <v>93</v>
      </c>
      <c r="B12" s="111" t="s">
        <v>94</v>
      </c>
      <c r="C12" s="115">
        <v>0</v>
      </c>
      <c r="D12" s="116">
        <f>IF(C11=2,SUM(E6:E10),IF(C11=1,(SUM(E6:E10))*D7/D6,0))</f>
        <v>0</v>
      </c>
      <c r="E12" s="113">
        <f>C12*D12/100</f>
        <v>0</v>
      </c>
      <c r="F12" s="101"/>
    </row>
    <row r="13" spans="1:11">
      <c r="A13" s="117" t="s">
        <v>95</v>
      </c>
      <c r="B13" s="118"/>
      <c r="C13" s="118"/>
      <c r="D13" s="119"/>
      <c r="E13" s="120">
        <f>SUM(E6:E12)</f>
        <v>3263.97</v>
      </c>
      <c r="F13" s="121"/>
    </row>
    <row r="14" spans="1:11">
      <c r="A14" s="110" t="s">
        <v>96</v>
      </c>
      <c r="B14" s="111" t="s">
        <v>94</v>
      </c>
      <c r="C14" s="122">
        <f>Encargos!$C$31*100</f>
        <v>72.114892000000012</v>
      </c>
      <c r="D14" s="113">
        <f>E13</f>
        <v>3263.97</v>
      </c>
      <c r="E14" s="113">
        <f>D14*C14/100</f>
        <v>2353.8084404124002</v>
      </c>
      <c r="F14" s="101"/>
    </row>
    <row r="15" spans="1:11">
      <c r="A15" s="117" t="s">
        <v>103</v>
      </c>
      <c r="B15" s="123"/>
      <c r="C15" s="123"/>
      <c r="D15" s="124"/>
      <c r="E15" s="120">
        <f>E13+E14</f>
        <v>5617.7784404123995</v>
      </c>
      <c r="F15" s="121"/>
    </row>
    <row r="16" spans="1:11" ht="15.75" thickBot="1">
      <c r="A16" s="110" t="s">
        <v>97</v>
      </c>
      <c r="B16" s="111" t="s">
        <v>98</v>
      </c>
      <c r="C16" s="115">
        <v>1</v>
      </c>
      <c r="D16" s="113">
        <f>E15</f>
        <v>5617.7784404123995</v>
      </c>
      <c r="E16" s="113">
        <f>C16*D16</f>
        <v>5617.7784404123995</v>
      </c>
      <c r="F16" s="101"/>
    </row>
    <row r="17" spans="1:6" ht="15.75" thickBot="1">
      <c r="A17" s="100"/>
      <c r="B17" s="100"/>
      <c r="C17" s="100"/>
      <c r="D17" s="125" t="s">
        <v>99</v>
      </c>
      <c r="E17" s="126">
        <f>$B$1</f>
        <v>0.68179999999999996</v>
      </c>
      <c r="F17" s="127">
        <f>E16*E17</f>
        <v>3830.2013406731739</v>
      </c>
    </row>
    <row r="18" spans="1:6">
      <c r="A18" s="100"/>
      <c r="B18" s="100"/>
      <c r="C18" s="100"/>
      <c r="D18" s="101"/>
      <c r="E18" s="101"/>
      <c r="F18" s="101"/>
    </row>
    <row r="19" spans="1:6">
      <c r="A19" s="100"/>
      <c r="B19" s="100"/>
      <c r="C19" s="100"/>
      <c r="D19" s="101"/>
      <c r="E19" s="101"/>
      <c r="F19" s="101"/>
    </row>
    <row r="20" spans="1:6" ht="15.75" thickBot="1">
      <c r="A20" s="100" t="s">
        <v>206</v>
      </c>
      <c r="B20" s="100"/>
      <c r="C20" s="100"/>
      <c r="D20" s="101"/>
      <c r="E20" s="101"/>
      <c r="F20" s="128"/>
    </row>
    <row r="21" spans="1:6" ht="15.75" thickBot="1">
      <c r="A21" s="102" t="s">
        <v>83</v>
      </c>
      <c r="B21" s="129" t="s">
        <v>84</v>
      </c>
      <c r="C21" s="102" t="s">
        <v>85</v>
      </c>
      <c r="D21" s="104" t="s">
        <v>86</v>
      </c>
      <c r="E21" s="104" t="s">
        <v>87</v>
      </c>
      <c r="F21" s="105" t="s">
        <v>211</v>
      </c>
    </row>
    <row r="22" spans="1:6">
      <c r="A22" s="307" t="s">
        <v>104</v>
      </c>
      <c r="B22" s="309" t="s">
        <v>0</v>
      </c>
      <c r="C22" s="130"/>
      <c r="D22" s="131">
        <v>27.67</v>
      </c>
      <c r="E22" s="132"/>
      <c r="F22" s="133"/>
    </row>
    <row r="23" spans="1:6" ht="15.75" thickBot="1">
      <c r="A23" s="308"/>
      <c r="B23" s="310"/>
      <c r="C23" s="134">
        <f>C16</f>
        <v>1</v>
      </c>
      <c r="D23" s="265">
        <f>(D22*20%)</f>
        <v>5.5340000000000007</v>
      </c>
      <c r="E23" s="135">
        <f>D22-D23</f>
        <v>22.136000000000003</v>
      </c>
      <c r="F23" s="128"/>
    </row>
    <row r="24" spans="1:6" ht="15.75" thickBot="1">
      <c r="A24" s="100"/>
      <c r="B24" s="100"/>
      <c r="C24" s="100"/>
      <c r="D24" s="125" t="s">
        <v>99</v>
      </c>
      <c r="E24" s="126">
        <f>$B$1</f>
        <v>0.68179999999999996</v>
      </c>
      <c r="F24" s="136">
        <f>SUM(E23:E23)*E24</f>
        <v>15.092324800000002</v>
      </c>
    </row>
    <row r="25" spans="1:6">
      <c r="A25" s="32"/>
      <c r="B25" s="32"/>
      <c r="C25" s="32"/>
      <c r="D25" s="32"/>
      <c r="E25" s="32"/>
      <c r="F25" s="32"/>
    </row>
    <row r="26" spans="1:6" ht="15.75" thickBot="1">
      <c r="A26" s="32"/>
      <c r="B26" s="32"/>
      <c r="C26" s="32"/>
      <c r="D26" s="32"/>
      <c r="E26" s="32"/>
      <c r="F26" s="32"/>
    </row>
    <row r="27" spans="1:6" ht="15.75" thickBot="1">
      <c r="A27" s="7" t="s">
        <v>150</v>
      </c>
      <c r="B27" s="7" t="s">
        <v>149</v>
      </c>
      <c r="C27" s="53"/>
      <c r="D27" s="53"/>
      <c r="E27" s="53"/>
      <c r="F27" s="8">
        <f>F24+F17</f>
        <v>3845.2936654731739</v>
      </c>
    </row>
    <row r="28" spans="1:6">
      <c r="A28" s="32"/>
      <c r="B28" s="32"/>
      <c r="C28" s="32"/>
      <c r="D28" s="32"/>
      <c r="E28" s="32"/>
      <c r="F28" s="32"/>
    </row>
    <row r="29" spans="1:6">
      <c r="A29" s="27" t="s">
        <v>209</v>
      </c>
      <c r="B29" s="32"/>
      <c r="C29" s="32"/>
      <c r="D29" s="32"/>
      <c r="E29" s="32"/>
      <c r="F29" s="32"/>
    </row>
  </sheetData>
  <sheetProtection formatCells="0" formatColumns="0" formatRows="0" insertColumns="0" insertRows="0" insertHyperlinks="0" deleteColumns="0" deleteRows="0" sort="0" pivotTables="0"/>
  <customSheetViews>
    <customSheetView guid="{89CA7707-C461-45FC-BB82-EE1A90F4B3E3}">
      <selection activeCell="C30" sqref="C30"/>
      <pageMargins left="0.51181102362204722" right="0.51181102362204722" top="0.78740157480314965" bottom="0.78740157480314965" header="0.31496062992125984" footer="0.31496062992125984"/>
      <pageSetup paperSize="9" scale="80" orientation="portrait" r:id="rId1"/>
      <headerFooter>
        <oddFooter>&amp;C&amp;F&amp;D&amp;T</oddFooter>
      </headerFooter>
    </customSheetView>
  </customSheetViews>
  <mergeCells count="3">
    <mergeCell ref="A3:F3"/>
    <mergeCell ref="A22:A23"/>
    <mergeCell ref="B22:B23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80" orientation="landscape" r:id="rId2"/>
  <headerFooter>
    <oddHeader>&amp;C&amp;"-,Negrito"&amp;14MUNICIPIO DE CORONEL BARROSPlanilha de Composição de Custos Transporte Escolar - Linha 8 Lado Norte</oddHeader>
    <oddFooter>&amp;L&amp;F   -  &amp;A&amp;C&amp;P&amp;R&amp;D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6"/>
  <sheetViews>
    <sheetView workbookViewId="0">
      <selection activeCell="C27" sqref="C27"/>
    </sheetView>
  </sheetViews>
  <sheetFormatPr defaultRowHeight="15"/>
  <cols>
    <col min="1" max="1" width="47" bestFit="1" customWidth="1"/>
    <col min="2" max="2" width="8.42578125" bestFit="1" customWidth="1"/>
    <col min="3" max="3" width="12.85546875" bestFit="1" customWidth="1"/>
    <col min="4" max="4" width="17.7109375" bestFit="1" customWidth="1"/>
    <col min="5" max="5" width="11.28515625" bestFit="1" customWidth="1"/>
    <col min="6" max="6" width="9.85546875" bestFit="1" customWidth="1"/>
    <col min="9" max="9" width="11" bestFit="1" customWidth="1"/>
  </cols>
  <sheetData>
    <row r="1" spans="1:6">
      <c r="A1" s="19" t="s">
        <v>117</v>
      </c>
    </row>
    <row r="2" spans="1:6">
      <c r="A2" t="s">
        <v>186</v>
      </c>
      <c r="B2" s="139" t="s">
        <v>1</v>
      </c>
      <c r="C2" s="140">
        <v>286080</v>
      </c>
    </row>
    <row r="3" spans="1:6">
      <c r="A3" t="s">
        <v>112</v>
      </c>
      <c r="B3" s="139" t="s">
        <v>2</v>
      </c>
      <c r="C3">
        <v>10</v>
      </c>
      <c r="D3" s="26" t="s">
        <v>201</v>
      </c>
    </row>
    <row r="4" spans="1:6">
      <c r="A4" t="s">
        <v>114</v>
      </c>
      <c r="B4" s="139" t="s">
        <v>94</v>
      </c>
      <c r="C4" s="141">
        <f>100/C3</f>
        <v>10</v>
      </c>
    </row>
    <row r="5" spans="1:6">
      <c r="A5" t="s">
        <v>113</v>
      </c>
      <c r="B5" s="139" t="s">
        <v>1</v>
      </c>
      <c r="C5" s="141">
        <f>C2*20%</f>
        <v>57216</v>
      </c>
    </row>
    <row r="6" spans="1:6">
      <c r="A6" t="s">
        <v>116</v>
      </c>
      <c r="B6" s="139" t="s">
        <v>2</v>
      </c>
      <c r="C6" s="142">
        <v>4</v>
      </c>
    </row>
    <row r="7" spans="1:6" ht="15.75" thickBot="1">
      <c r="A7" t="s">
        <v>115</v>
      </c>
      <c r="B7" s="139" t="s">
        <v>1</v>
      </c>
      <c r="C7" s="20">
        <f>IF(((C2-C5)*(C4%*C6))&lt;(C2-C5),((C2-C5)*(C4%*C6)),(C2-C5))</f>
        <v>91545.600000000006</v>
      </c>
    </row>
    <row r="8" spans="1:6" ht="15.75" thickBot="1">
      <c r="A8" s="143" t="s">
        <v>105</v>
      </c>
      <c r="B8" s="144"/>
      <c r="C8" s="21">
        <f>'Mão de obra'!B1</f>
        <v>0.68179999999999996</v>
      </c>
    </row>
    <row r="9" spans="1:6" ht="19.5" thickBot="1">
      <c r="A9" s="311" t="s">
        <v>179</v>
      </c>
      <c r="B9" s="312"/>
      <c r="C9" s="312"/>
      <c r="D9" s="312"/>
      <c r="E9" s="312"/>
      <c r="F9" s="313"/>
    </row>
    <row r="10" spans="1:6" ht="16.5" thickBot="1">
      <c r="A10" s="145" t="s">
        <v>180</v>
      </c>
      <c r="B10" s="33"/>
      <c r="C10" s="33"/>
      <c r="D10" s="34"/>
      <c r="E10" s="34"/>
      <c r="F10" s="34"/>
    </row>
    <row r="11" spans="1:6" ht="15.75" thickBot="1">
      <c r="A11" s="35" t="s">
        <v>83</v>
      </c>
      <c r="B11" s="36" t="s">
        <v>84</v>
      </c>
      <c r="C11" s="36" t="s">
        <v>85</v>
      </c>
      <c r="D11" s="37" t="s">
        <v>86</v>
      </c>
      <c r="E11" s="37" t="s">
        <v>87</v>
      </c>
      <c r="F11" s="38" t="s">
        <v>210</v>
      </c>
    </row>
    <row r="12" spans="1:6">
      <c r="A12" s="39" t="s">
        <v>148</v>
      </c>
      <c r="B12" s="40" t="s">
        <v>0</v>
      </c>
      <c r="C12" s="40">
        <v>1</v>
      </c>
      <c r="D12" s="146">
        <f>C2</f>
        <v>286080</v>
      </c>
      <c r="E12" s="41">
        <f>C12*D12</f>
        <v>286080</v>
      </c>
      <c r="F12" s="34"/>
    </row>
    <row r="13" spans="1:6">
      <c r="A13" s="42" t="s">
        <v>147</v>
      </c>
      <c r="B13" s="43" t="s">
        <v>2</v>
      </c>
      <c r="C13" s="147">
        <f>C3</f>
        <v>10</v>
      </c>
      <c r="D13" s="46"/>
      <c r="E13" s="44"/>
      <c r="F13" s="34"/>
    </row>
    <row r="14" spans="1:6">
      <c r="A14" s="42" t="s">
        <v>145</v>
      </c>
      <c r="B14" s="43" t="s">
        <v>2</v>
      </c>
      <c r="C14" s="148">
        <f>C6</f>
        <v>4</v>
      </c>
      <c r="D14" s="44"/>
      <c r="E14" s="44"/>
      <c r="F14" s="149"/>
    </row>
    <row r="15" spans="1:6">
      <c r="A15" s="42" t="s">
        <v>146</v>
      </c>
      <c r="B15" s="43" t="s">
        <v>94</v>
      </c>
      <c r="C15" s="150">
        <v>100</v>
      </c>
      <c r="D15" s="44">
        <f>E12</f>
        <v>286080</v>
      </c>
      <c r="E15" s="44">
        <f>C15*(D15-C5)/100</f>
        <v>228864</v>
      </c>
      <c r="F15" s="34"/>
    </row>
    <row r="16" spans="1:6" ht="15.75" thickBot="1">
      <c r="A16" s="151" t="s">
        <v>156</v>
      </c>
      <c r="B16" s="152" t="s">
        <v>88</v>
      </c>
      <c r="C16" s="152">
        <f>C13*12</f>
        <v>120</v>
      </c>
      <c r="D16" s="153">
        <f>IF(C14&lt;=C13,E15,0)</f>
        <v>228864</v>
      </c>
      <c r="E16" s="153">
        <f>IFERROR(D16/C16,0)</f>
        <v>1907.2</v>
      </c>
      <c r="F16" s="34"/>
    </row>
    <row r="17" spans="1:11" ht="15.75" thickTop="1">
      <c r="A17" s="154" t="s">
        <v>108</v>
      </c>
      <c r="B17" s="48"/>
      <c r="C17" s="48"/>
      <c r="D17" s="49"/>
      <c r="E17" s="155">
        <f>E16</f>
        <v>1907.2</v>
      </c>
      <c r="F17" s="34"/>
    </row>
    <row r="18" spans="1:11" ht="15.75" thickBot="1">
      <c r="A18" s="47" t="s">
        <v>109</v>
      </c>
      <c r="B18" s="156" t="s">
        <v>0</v>
      </c>
      <c r="C18" s="45">
        <v>1</v>
      </c>
      <c r="D18" s="50">
        <f>E17</f>
        <v>1907.2</v>
      </c>
      <c r="E18" s="155">
        <f>C18*D18</f>
        <v>1907.2</v>
      </c>
      <c r="F18" s="34"/>
    </row>
    <row r="19" spans="1:11" ht="15.75" thickBot="1">
      <c r="A19" s="157"/>
      <c r="B19" s="157"/>
      <c r="C19" s="157"/>
      <c r="D19" s="51" t="s">
        <v>99</v>
      </c>
      <c r="E19" s="52">
        <f>C8</f>
        <v>0.68179999999999996</v>
      </c>
      <c r="F19" s="158">
        <f>E18*E19</f>
        <v>1300.3289600000001</v>
      </c>
    </row>
    <row r="20" spans="1:11">
      <c r="C20" s="159"/>
      <c r="F20" s="34"/>
    </row>
    <row r="21" spans="1:11">
      <c r="C21" s="159"/>
      <c r="F21" s="34"/>
    </row>
    <row r="22" spans="1:11">
      <c r="F22" s="34"/>
    </row>
    <row r="23" spans="1:11" ht="16.5" thickBot="1">
      <c r="A23" s="145" t="s">
        <v>181</v>
      </c>
      <c r="B23" s="33"/>
      <c r="C23" s="33"/>
      <c r="D23" s="34"/>
      <c r="E23" s="34"/>
      <c r="F23" s="34"/>
    </row>
    <row r="24" spans="1:11" ht="15.75" thickBot="1">
      <c r="A24" s="160" t="s">
        <v>83</v>
      </c>
      <c r="B24" s="161" t="s">
        <v>84</v>
      </c>
      <c r="C24" s="161" t="s">
        <v>85</v>
      </c>
      <c r="D24" s="37" t="s">
        <v>86</v>
      </c>
      <c r="E24" s="162" t="s">
        <v>87</v>
      </c>
      <c r="F24" s="38" t="s">
        <v>210</v>
      </c>
    </row>
    <row r="25" spans="1:11">
      <c r="A25" s="42" t="s">
        <v>106</v>
      </c>
      <c r="B25" s="43" t="s">
        <v>0</v>
      </c>
      <c r="C25" s="40">
        <v>1</v>
      </c>
      <c r="D25" s="44">
        <f>C2</f>
        <v>286080</v>
      </c>
      <c r="E25" s="44">
        <f>C25*D25</f>
        <v>286080</v>
      </c>
    </row>
    <row r="26" spans="1:11">
      <c r="A26" s="42" t="s">
        <v>213</v>
      </c>
      <c r="B26" s="43" t="s">
        <v>94</v>
      </c>
      <c r="C26" s="45">
        <v>10.5</v>
      </c>
      <c r="D26" s="44"/>
      <c r="E26" s="44"/>
      <c r="F26" s="27" t="s">
        <v>212</v>
      </c>
      <c r="G26" s="26"/>
      <c r="H26" s="26"/>
      <c r="I26" s="26"/>
      <c r="J26" s="26"/>
      <c r="K26" s="26"/>
    </row>
    <row r="27" spans="1:11">
      <c r="A27" s="42" t="s">
        <v>111</v>
      </c>
      <c r="B27" s="43" t="s">
        <v>1</v>
      </c>
      <c r="C27" s="163">
        <f>C2-C5-C7</f>
        <v>137318.39999999999</v>
      </c>
      <c r="D27" s="44"/>
      <c r="E27" s="44"/>
    </row>
    <row r="28" spans="1:11">
      <c r="A28" s="42" t="s">
        <v>118</v>
      </c>
      <c r="B28" s="43" t="s">
        <v>1</v>
      </c>
      <c r="C28" s="46">
        <f>((C2-C7)-(C5))*((C3+1)/(2*C3))+(C5)</f>
        <v>132741.12</v>
      </c>
      <c r="D28" s="44"/>
      <c r="E28" s="44"/>
      <c r="F28" s="34"/>
    </row>
    <row r="29" spans="1:11" ht="15.75" thickBot="1">
      <c r="A29" s="151" t="s">
        <v>107</v>
      </c>
      <c r="B29" s="152" t="s">
        <v>1</v>
      </c>
      <c r="C29" s="152"/>
      <c r="D29" s="164">
        <f>C26*C28/12/100</f>
        <v>1161.4848</v>
      </c>
      <c r="E29" s="153">
        <f>D29</f>
        <v>1161.4848</v>
      </c>
    </row>
    <row r="30" spans="1:11" ht="15.75" thickTop="1">
      <c r="A30" s="154" t="s">
        <v>108</v>
      </c>
      <c r="B30" s="48"/>
      <c r="C30" s="48"/>
      <c r="D30" s="49"/>
      <c r="E30" s="155">
        <f>E29</f>
        <v>1161.4848</v>
      </c>
      <c r="F30" s="149"/>
      <c r="I30" s="23"/>
    </row>
    <row r="31" spans="1:11" ht="15.75" thickBot="1">
      <c r="A31" s="47" t="s">
        <v>109</v>
      </c>
      <c r="B31" s="156" t="s">
        <v>0</v>
      </c>
      <c r="C31" s="45">
        <v>1</v>
      </c>
      <c r="D31" s="50">
        <f>E30</f>
        <v>1161.4848</v>
      </c>
      <c r="E31" s="155">
        <f>C31*D31</f>
        <v>1161.4848</v>
      </c>
      <c r="F31" s="149"/>
    </row>
    <row r="32" spans="1:11" ht="15.75" thickBot="1">
      <c r="A32" s="33"/>
      <c r="B32" s="33"/>
      <c r="C32" s="165"/>
      <c r="D32" s="51" t="s">
        <v>99</v>
      </c>
      <c r="E32" s="52">
        <f>C8</f>
        <v>0.68179999999999996</v>
      </c>
      <c r="F32" s="158">
        <f>E31*E32</f>
        <v>791.90033663999998</v>
      </c>
    </row>
    <row r="33" spans="1:6">
      <c r="F33" s="149"/>
    </row>
    <row r="34" spans="1:6">
      <c r="F34" s="149"/>
    </row>
    <row r="35" spans="1:6">
      <c r="A35" s="27" t="s">
        <v>110</v>
      </c>
      <c r="B35" s="26"/>
      <c r="C35" s="26"/>
      <c r="D35" s="26"/>
      <c r="E35" s="26"/>
      <c r="F35" s="166"/>
    </row>
    <row r="36" spans="1:6">
      <c r="F36" s="22"/>
    </row>
  </sheetData>
  <sheetProtection formatCells="0" formatColumns="0" formatRows="0" insertColumns="0" insertRows="0" insertHyperlinks="0" deleteColumns="0" deleteRows="0" sort="0" autoFilter="0" pivotTables="0"/>
  <customSheetViews>
    <customSheetView guid="{89CA7707-C461-45FC-BB82-EE1A90F4B3E3}" topLeftCell="A19">
      <selection activeCell="E3" sqref="E3"/>
      <pageMargins left="0.51181102362204722" right="0.51181102362204722" top="0.78740157480314965" bottom="0.78740157480314965" header="0.31496062992125984" footer="0.31496062992125984"/>
      <pageSetup paperSize="9" scale="85" orientation="portrait" verticalDpi="0" r:id="rId1"/>
      <headerFooter>
        <oddFooter>&amp;C&amp;F&amp;D&amp;T</oddFooter>
      </headerFooter>
    </customSheetView>
  </customSheetViews>
  <mergeCells count="1">
    <mergeCell ref="A9:F9"/>
  </mergeCells>
  <hyperlinks>
    <hyperlink ref="A23" location="AbaRemun" display="3.1.2. Remuneração do Capital"/>
    <hyperlink ref="A10" location="AbaDeprec" display="3.1.1. Depreciação"/>
  </hyperlinks>
  <printOptions horizontalCentered="1"/>
  <pageMargins left="0.51181102362204722" right="0.51181102362204722" top="0.78740157480314965" bottom="0.78740157480314965" header="0.31496062992125984" footer="0.31496062992125984"/>
  <pageSetup paperSize="9" scale="85" orientation="landscape" r:id="rId2"/>
  <headerFooter>
    <oddHeader>&amp;C&amp;"-,Negrito"&amp;14MUNICIPIO DE CORONEL BARROSPlanilha de Composição de Custos Transporte Escolar - Linha 8 Lado Norte</oddHeader>
    <oddFooter>&amp;L&amp;F   -  &amp;A&amp;C&amp;P&amp;R&amp;D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53"/>
  <sheetViews>
    <sheetView topLeftCell="A13" workbookViewId="0">
      <selection activeCell="D33" sqref="D33"/>
    </sheetView>
  </sheetViews>
  <sheetFormatPr defaultRowHeight="15"/>
  <cols>
    <col min="1" max="1" width="46.7109375" customWidth="1"/>
    <col min="2" max="2" width="13.85546875" bestFit="1" customWidth="1"/>
    <col min="3" max="3" width="10.42578125" bestFit="1" customWidth="1"/>
    <col min="4" max="4" width="17.85546875" bestFit="1" customWidth="1"/>
    <col min="5" max="5" width="10.5703125" bestFit="1" customWidth="1"/>
    <col min="6" max="6" width="15.85546875" customWidth="1"/>
    <col min="11" max="11" width="21.85546875" customWidth="1"/>
  </cols>
  <sheetData>
    <row r="1" spans="1:11" ht="15.75" thickBot="1">
      <c r="A1" s="167" t="s">
        <v>105</v>
      </c>
      <c r="B1" s="9">
        <f>'Mão de obra'!B1</f>
        <v>0.68179999999999996</v>
      </c>
      <c r="C1" s="32"/>
      <c r="D1" s="32"/>
      <c r="E1" s="32"/>
      <c r="F1" s="32"/>
      <c r="G1" s="32"/>
    </row>
    <row r="2" spans="1:11" ht="15.75" thickBot="1">
      <c r="A2" s="168"/>
      <c r="B2" s="10"/>
      <c r="C2" s="32"/>
      <c r="D2" s="32"/>
      <c r="E2" s="32"/>
      <c r="F2" s="32"/>
      <c r="G2" s="32"/>
    </row>
    <row r="3" spans="1:11" ht="15.75" thickBot="1">
      <c r="A3" s="314" t="s">
        <v>171</v>
      </c>
      <c r="B3" s="315"/>
      <c r="C3" s="315"/>
      <c r="D3" s="315"/>
      <c r="E3" s="315"/>
      <c r="F3" s="316"/>
      <c r="G3" s="32"/>
    </row>
    <row r="4" spans="1:11" ht="15.75" thickBot="1">
      <c r="A4" s="100" t="s">
        <v>172</v>
      </c>
      <c r="B4" s="100"/>
      <c r="C4" s="100"/>
      <c r="D4" s="169"/>
      <c r="E4" s="169"/>
      <c r="F4" s="169"/>
      <c r="G4" s="32"/>
    </row>
    <row r="5" spans="1:11" ht="15.75" thickBot="1">
      <c r="A5" s="102" t="s">
        <v>83</v>
      </c>
      <c r="B5" s="103" t="s">
        <v>84</v>
      </c>
      <c r="C5" s="103" t="s">
        <v>85</v>
      </c>
      <c r="D5" s="170" t="s">
        <v>86</v>
      </c>
      <c r="E5" s="170" t="s">
        <v>87</v>
      </c>
      <c r="F5" s="171" t="s">
        <v>211</v>
      </c>
      <c r="G5" s="32"/>
    </row>
    <row r="6" spans="1:11">
      <c r="A6" s="106" t="s">
        <v>119</v>
      </c>
      <c r="B6" s="107" t="s">
        <v>0</v>
      </c>
      <c r="C6" s="172">
        <f>'Remuneração de capital'!C31</f>
        <v>1</v>
      </c>
      <c r="D6" s="172">
        <v>2988.1</v>
      </c>
      <c r="E6" s="172">
        <f>C6*D6</f>
        <v>2988.1</v>
      </c>
      <c r="F6" s="169">
        <f>E6*E13</f>
        <v>2037.2865799999997</v>
      </c>
      <c r="G6" s="26" t="s">
        <v>202</v>
      </c>
      <c r="H6" s="26"/>
      <c r="I6" s="26"/>
      <c r="J6" s="26"/>
      <c r="K6" s="26"/>
    </row>
    <row r="7" spans="1:11">
      <c r="A7" s="110" t="s">
        <v>120</v>
      </c>
      <c r="B7" s="111" t="s">
        <v>0</v>
      </c>
      <c r="C7" s="172">
        <f>'Remuneração de capital'!C31</f>
        <v>1</v>
      </c>
      <c r="D7" s="173">
        <v>94.1</v>
      </c>
      <c r="E7" s="174">
        <f>C7*D7</f>
        <v>94.1</v>
      </c>
      <c r="F7" s="169">
        <f>E7*E13</f>
        <v>64.157379999999989</v>
      </c>
      <c r="G7" s="32"/>
    </row>
    <row r="8" spans="1:11">
      <c r="A8" s="110" t="s">
        <v>121</v>
      </c>
      <c r="B8" s="111" t="s">
        <v>0</v>
      </c>
      <c r="C8" s="172">
        <f>'Remuneração de capital'!C31</f>
        <v>1</v>
      </c>
      <c r="D8" s="173">
        <v>3571.41</v>
      </c>
      <c r="E8" s="174">
        <f>C8*D8</f>
        <v>3571.41</v>
      </c>
      <c r="F8" s="175">
        <f t="shared" ref="F8:F10" si="0">E8*$E$13</f>
        <v>2434.9873379999999</v>
      </c>
      <c r="G8" s="27" t="s">
        <v>304</v>
      </c>
      <c r="H8" s="26"/>
      <c r="I8" s="26"/>
      <c r="J8" s="26"/>
      <c r="K8" s="26"/>
    </row>
    <row r="9" spans="1:11">
      <c r="A9" s="110" t="s">
        <v>203</v>
      </c>
      <c r="B9" s="111" t="s">
        <v>0</v>
      </c>
      <c r="C9" s="172">
        <v>2</v>
      </c>
      <c r="D9" s="173">
        <v>149.49</v>
      </c>
      <c r="E9" s="174">
        <f t="shared" ref="E9:E10" si="1">C9*D9</f>
        <v>298.98</v>
      </c>
      <c r="F9" s="175">
        <f t="shared" si="0"/>
        <v>203.84456399999999</v>
      </c>
      <c r="G9" s="26" t="s">
        <v>215</v>
      </c>
      <c r="H9" s="26"/>
      <c r="I9" s="26"/>
      <c r="J9" s="26"/>
      <c r="K9" s="26"/>
    </row>
    <row r="10" spans="1:11">
      <c r="A10" s="110" t="s">
        <v>191</v>
      </c>
      <c r="B10" s="111" t="s">
        <v>0</v>
      </c>
      <c r="C10" s="172">
        <v>2</v>
      </c>
      <c r="D10" s="173">
        <v>390</v>
      </c>
      <c r="E10" s="174">
        <f t="shared" si="1"/>
        <v>780</v>
      </c>
      <c r="F10" s="175">
        <f t="shared" si="0"/>
        <v>531.80399999999997</v>
      </c>
      <c r="G10" s="27" t="s">
        <v>305</v>
      </c>
      <c r="H10" s="27"/>
      <c r="I10" s="27"/>
      <c r="J10" s="27"/>
      <c r="K10" s="27"/>
    </row>
    <row r="11" spans="1:11">
      <c r="A11" s="110" t="s">
        <v>190</v>
      </c>
      <c r="B11" s="111" t="s">
        <v>0</v>
      </c>
      <c r="C11" s="172">
        <v>1</v>
      </c>
      <c r="D11" s="173">
        <f>90.09 + 142.5 + 90.09</f>
        <v>322.68</v>
      </c>
      <c r="E11" s="174">
        <f>C11*D11</f>
        <v>322.68</v>
      </c>
      <c r="F11" s="175">
        <f>E11*$E$13</f>
        <v>220.00322399999999</v>
      </c>
      <c r="G11" s="26" t="s">
        <v>216</v>
      </c>
      <c r="H11" s="26"/>
      <c r="I11" s="26"/>
      <c r="J11" s="26"/>
      <c r="K11" s="26"/>
    </row>
    <row r="12" spans="1:11" ht="15.75" thickBot="1">
      <c r="A12" s="117" t="s">
        <v>122</v>
      </c>
      <c r="B12" s="176" t="s">
        <v>88</v>
      </c>
      <c r="C12" s="176">
        <v>12</v>
      </c>
      <c r="D12" s="177">
        <f>SUM(E6:E11)</f>
        <v>8055.27</v>
      </c>
      <c r="E12" s="177">
        <f>D12/C12</f>
        <v>671.27250000000004</v>
      </c>
      <c r="F12" s="169"/>
      <c r="G12" s="32"/>
    </row>
    <row r="13" spans="1:11" ht="15.75" thickBot="1">
      <c r="A13" s="100"/>
      <c r="B13" s="100"/>
      <c r="C13" s="100"/>
      <c r="D13" s="178" t="s">
        <v>99</v>
      </c>
      <c r="E13" s="179">
        <f>B1</f>
        <v>0.68179999999999996</v>
      </c>
      <c r="F13" s="180">
        <f>E12*E13</f>
        <v>457.67359049999999</v>
      </c>
      <c r="G13" s="32"/>
    </row>
    <row r="14" spans="1:11">
      <c r="A14" s="100"/>
      <c r="B14" s="100"/>
      <c r="C14" s="100"/>
      <c r="D14" s="169"/>
      <c r="E14" s="169"/>
      <c r="F14" s="169"/>
      <c r="G14" s="32"/>
    </row>
    <row r="15" spans="1:11">
      <c r="A15" s="100" t="s">
        <v>173</v>
      </c>
      <c r="B15" s="181"/>
      <c r="C15" s="100"/>
      <c r="D15" s="169"/>
      <c r="E15" s="169"/>
      <c r="F15" s="169"/>
      <c r="G15" s="32"/>
    </row>
    <row r="16" spans="1:11">
      <c r="A16" s="100"/>
      <c r="B16" s="182"/>
      <c r="C16" s="100"/>
      <c r="D16" s="169"/>
      <c r="E16" s="169"/>
      <c r="F16" s="169"/>
      <c r="G16" s="32"/>
    </row>
    <row r="17" spans="1:10">
      <c r="A17" s="117" t="s">
        <v>269</v>
      </c>
      <c r="B17" s="183">
        <f>163*20</f>
        <v>3260</v>
      </c>
      <c r="C17" s="100"/>
      <c r="D17" s="169"/>
      <c r="E17" s="169"/>
      <c r="F17" s="169"/>
      <c r="G17" s="32"/>
    </row>
    <row r="18" spans="1:10">
      <c r="A18" s="117" t="s">
        <v>270</v>
      </c>
      <c r="B18" s="183"/>
      <c r="C18" s="100"/>
      <c r="D18" s="169"/>
      <c r="E18" s="169"/>
      <c r="F18" s="169"/>
      <c r="G18" s="32"/>
    </row>
    <row r="19" spans="1:10">
      <c r="A19" s="239"/>
      <c r="B19" s="260">
        <f>SUM(B17:B18)</f>
        <v>3260</v>
      </c>
      <c r="C19" s="100"/>
      <c r="D19" s="169" t="s">
        <v>308</v>
      </c>
      <c r="E19" s="169"/>
      <c r="F19" s="169"/>
      <c r="G19" s="32"/>
    </row>
    <row r="20" spans="1:10" ht="15.75" thickBot="1">
      <c r="A20" s="100"/>
      <c r="B20" s="184"/>
      <c r="C20" s="100"/>
      <c r="D20" s="169"/>
      <c r="E20" s="169"/>
      <c r="F20" s="169"/>
      <c r="G20" s="32"/>
    </row>
    <row r="21" spans="1:10" ht="15.75" thickBot="1">
      <c r="A21" s="102" t="s">
        <v>83</v>
      </c>
      <c r="B21" s="103" t="s">
        <v>84</v>
      </c>
      <c r="C21" s="103" t="s">
        <v>123</v>
      </c>
      <c r="D21" s="170" t="s">
        <v>86</v>
      </c>
      <c r="E21" s="170" t="s">
        <v>87</v>
      </c>
      <c r="F21" s="171" t="s">
        <v>211</v>
      </c>
      <c r="G21" s="32"/>
    </row>
    <row r="22" spans="1:10">
      <c r="A22" s="106" t="s">
        <v>267</v>
      </c>
      <c r="B22" s="107" t="s">
        <v>3</v>
      </c>
      <c r="C22" s="185">
        <v>4.5</v>
      </c>
      <c r="D22" s="186">
        <v>6.09</v>
      </c>
      <c r="E22" s="172"/>
      <c r="F22" s="266" t="s">
        <v>294</v>
      </c>
      <c r="G22" s="267"/>
      <c r="H22" s="267"/>
      <c r="I22" s="267"/>
      <c r="J22" s="267"/>
    </row>
    <row r="23" spans="1:10">
      <c r="A23" s="110" t="s">
        <v>124</v>
      </c>
      <c r="B23" s="111" t="s">
        <v>4</v>
      </c>
      <c r="C23" s="187">
        <f>B17</f>
        <v>3260</v>
      </c>
      <c r="D23" s="188">
        <f>IFERROR(+D22/C22,"-")</f>
        <v>1.3533333333333333</v>
      </c>
      <c r="E23" s="174">
        <f>IFERROR(C23*D23,"-")</f>
        <v>4411.8666666666668</v>
      </c>
      <c r="F23" s="268"/>
      <c r="G23" s="269"/>
      <c r="H23" s="270"/>
      <c r="I23" s="270"/>
      <c r="J23" s="270"/>
    </row>
    <row r="24" spans="1:10">
      <c r="A24" s="106" t="s">
        <v>268</v>
      </c>
      <c r="B24" s="107" t="s">
        <v>3</v>
      </c>
      <c r="C24" s="185">
        <v>3.3</v>
      </c>
      <c r="D24" s="261">
        <f>D22</f>
        <v>6.09</v>
      </c>
      <c r="E24" s="174"/>
      <c r="F24" s="266"/>
      <c r="G24" s="269"/>
      <c r="H24" s="270"/>
      <c r="I24" s="270"/>
      <c r="J24" s="270"/>
    </row>
    <row r="25" spans="1:10">
      <c r="A25" s="110" t="s">
        <v>124</v>
      </c>
      <c r="B25" s="111" t="s">
        <v>4</v>
      </c>
      <c r="C25" s="187">
        <f>B18</f>
        <v>0</v>
      </c>
      <c r="D25" s="188">
        <f>IFERROR(+D24/C24,"-")</f>
        <v>1.8454545454545455</v>
      </c>
      <c r="E25" s="174">
        <f>IFERROR(C25*D25,"-")</f>
        <v>0</v>
      </c>
      <c r="F25" s="169"/>
      <c r="G25" s="32"/>
    </row>
    <row r="26" spans="1:10">
      <c r="A26" s="110" t="s">
        <v>184</v>
      </c>
      <c r="B26" s="111" t="s">
        <v>185</v>
      </c>
      <c r="C26" s="189">
        <v>0.06</v>
      </c>
      <c r="D26" s="190">
        <f>(D23+D25)/2</f>
        <v>1.5993939393939394</v>
      </c>
      <c r="E26" s="174"/>
      <c r="F26" s="206"/>
      <c r="G26" s="26" t="s">
        <v>204</v>
      </c>
      <c r="H26" s="26"/>
      <c r="I26" s="26"/>
    </row>
    <row r="27" spans="1:10">
      <c r="A27" s="110" t="s">
        <v>125</v>
      </c>
      <c r="B27" s="111" t="s">
        <v>4</v>
      </c>
      <c r="C27" s="187">
        <f>B19</f>
        <v>3260</v>
      </c>
      <c r="D27" s="192">
        <f>C26*D26</f>
        <v>9.5963636363636362E-2</v>
      </c>
      <c r="E27" s="174">
        <f>C27*D27</f>
        <v>312.84145454545455</v>
      </c>
      <c r="F27" s="169"/>
      <c r="G27" s="32"/>
    </row>
    <row r="28" spans="1:10" ht="15.75" thickBot="1">
      <c r="A28" s="117" t="s">
        <v>126</v>
      </c>
      <c r="B28" s="176" t="s">
        <v>127</v>
      </c>
      <c r="C28" s="193"/>
      <c r="D28" s="194">
        <f>IFERROR(D23+D27+#REF!+#REF!+#REF!,0)</f>
        <v>0</v>
      </c>
      <c r="E28" s="174"/>
      <c r="F28" s="169"/>
      <c r="G28" s="32"/>
    </row>
    <row r="29" spans="1:10" ht="15.75" thickBot="1">
      <c r="A29" s="100"/>
      <c r="B29" s="100"/>
      <c r="C29" s="100"/>
      <c r="D29" s="169"/>
      <c r="E29" s="169"/>
      <c r="F29" s="195">
        <f>SUM(E22:E27)</f>
        <v>4724.7081212121211</v>
      </c>
      <c r="G29" s="32"/>
    </row>
    <row r="30" spans="1:10">
      <c r="A30" s="100"/>
      <c r="B30" s="100"/>
      <c r="C30" s="100"/>
      <c r="D30" s="169"/>
      <c r="E30" s="169"/>
      <c r="F30" s="169"/>
      <c r="G30" s="32"/>
    </row>
    <row r="31" spans="1:10" ht="15.75" thickBot="1">
      <c r="A31" s="100" t="s">
        <v>174</v>
      </c>
      <c r="B31" s="100"/>
      <c r="C31" s="100"/>
      <c r="D31" s="169"/>
      <c r="E31" s="169"/>
      <c r="F31" s="169"/>
      <c r="G31" s="32"/>
    </row>
    <row r="32" spans="1:10" ht="15.75" thickBot="1">
      <c r="A32" s="102" t="s">
        <v>83</v>
      </c>
      <c r="B32" s="103" t="s">
        <v>84</v>
      </c>
      <c r="C32" s="103" t="s">
        <v>85</v>
      </c>
      <c r="D32" s="170" t="s">
        <v>86</v>
      </c>
      <c r="E32" s="170" t="s">
        <v>87</v>
      </c>
      <c r="F32" s="171" t="s">
        <v>211</v>
      </c>
      <c r="G32" s="32"/>
    </row>
    <row r="33" spans="1:12" ht="15.75" thickBot="1">
      <c r="A33" s="106" t="s">
        <v>129</v>
      </c>
      <c r="B33" s="107" t="s">
        <v>127</v>
      </c>
      <c r="C33" s="187">
        <f>B19</f>
        <v>3260</v>
      </c>
      <c r="D33" s="108">
        <f>((D23+D25)/2)*1.2</f>
        <v>1.9192727272727272</v>
      </c>
      <c r="E33" s="172">
        <f>C33*D33</f>
        <v>6256.8290909090911</v>
      </c>
      <c r="F33" s="169"/>
      <c r="G33" s="32"/>
    </row>
    <row r="34" spans="1:12" ht="15.75" thickBot="1">
      <c r="A34" s="100"/>
      <c r="B34" s="100"/>
      <c r="C34" s="100"/>
      <c r="D34" s="169"/>
      <c r="E34" s="169"/>
      <c r="F34" s="195">
        <f>E33</f>
        <v>6256.8290909090911</v>
      </c>
      <c r="G34" s="32"/>
    </row>
    <row r="35" spans="1:12">
      <c r="A35" s="100"/>
      <c r="B35" s="100"/>
      <c r="C35" s="100"/>
      <c r="D35" s="169"/>
      <c r="E35" s="169"/>
      <c r="F35" s="169"/>
      <c r="G35" s="32"/>
    </row>
    <row r="36" spans="1:12" ht="15.75" thickBot="1">
      <c r="A36" s="100" t="s">
        <v>175</v>
      </c>
      <c r="B36" s="100"/>
      <c r="C36" s="100"/>
      <c r="D36" s="169"/>
      <c r="E36" s="169"/>
      <c r="F36" s="169"/>
      <c r="G36" s="32"/>
    </row>
    <row r="37" spans="1:12" ht="15.75" thickBot="1">
      <c r="A37" s="102" t="s">
        <v>83</v>
      </c>
      <c r="B37" s="103" t="s">
        <v>84</v>
      </c>
      <c r="C37" s="103" t="s">
        <v>85</v>
      </c>
      <c r="D37" s="170" t="s">
        <v>86</v>
      </c>
      <c r="E37" s="170" t="s">
        <v>87</v>
      </c>
      <c r="F37" s="171" t="s">
        <v>211</v>
      </c>
      <c r="G37" s="32"/>
    </row>
    <row r="38" spans="1:12">
      <c r="A38" s="196" t="s">
        <v>200</v>
      </c>
      <c r="B38" s="106"/>
      <c r="C38" s="106"/>
      <c r="D38" s="106"/>
      <c r="E38" s="106"/>
      <c r="F38" s="169"/>
      <c r="G38" s="32"/>
    </row>
    <row r="39" spans="1:12">
      <c r="A39" s="106" t="s">
        <v>303</v>
      </c>
      <c r="B39" s="107" t="s">
        <v>0</v>
      </c>
      <c r="C39" s="197">
        <v>6</v>
      </c>
      <c r="D39" s="108">
        <v>2436</v>
      </c>
      <c r="E39" s="172">
        <f>C39*D39</f>
        <v>14616</v>
      </c>
      <c r="F39" s="266"/>
      <c r="G39" s="269"/>
      <c r="H39" s="270"/>
      <c r="I39" s="270"/>
      <c r="J39" s="270"/>
    </row>
    <row r="40" spans="1:12">
      <c r="A40" s="106"/>
      <c r="B40" s="107"/>
      <c r="C40" s="197"/>
      <c r="D40" s="198"/>
      <c r="E40" s="172"/>
      <c r="F40" s="169"/>
      <c r="G40" s="32"/>
    </row>
    <row r="41" spans="1:12">
      <c r="A41" s="106"/>
      <c r="B41" s="107"/>
      <c r="C41" s="172"/>
      <c r="D41" s="108"/>
      <c r="E41" s="172"/>
      <c r="F41" s="268"/>
      <c r="G41" s="269"/>
      <c r="H41" s="270"/>
      <c r="I41" s="270"/>
      <c r="J41" s="270"/>
      <c r="K41" s="270"/>
      <c r="L41" s="270"/>
    </row>
    <row r="42" spans="1:12">
      <c r="A42" s="110" t="s">
        <v>214</v>
      </c>
      <c r="B42" s="111" t="s">
        <v>128</v>
      </c>
      <c r="C42" s="199">
        <v>40000</v>
      </c>
      <c r="D42" s="174">
        <f>E39+E41</f>
        <v>14616</v>
      </c>
      <c r="E42" s="174">
        <f>IFERROR(D42/C42,"-")</f>
        <v>0.3654</v>
      </c>
      <c r="F42" s="191" t="s">
        <v>306</v>
      </c>
      <c r="G42" s="97"/>
      <c r="H42" s="26"/>
      <c r="I42" s="26"/>
      <c r="J42" s="26"/>
      <c r="K42" s="26"/>
    </row>
    <row r="43" spans="1:12" ht="15.75" thickBot="1">
      <c r="A43" s="110" t="s">
        <v>205</v>
      </c>
      <c r="B43" s="111" t="s">
        <v>4</v>
      </c>
      <c r="C43" s="187">
        <f>B19</f>
        <v>3260</v>
      </c>
      <c r="D43" s="174">
        <f>E42</f>
        <v>0.3654</v>
      </c>
      <c r="E43" s="174">
        <f>IFERROR(C43*D43,0)</f>
        <v>1191.204</v>
      </c>
      <c r="F43" s="169"/>
      <c r="G43" s="32"/>
    </row>
    <row r="44" spans="1:12" ht="15.75" thickBot="1">
      <c r="A44" s="100"/>
      <c r="B44" s="100"/>
      <c r="C44" s="100"/>
      <c r="D44" s="169"/>
      <c r="E44" s="169"/>
      <c r="F44" s="195">
        <f>E43</f>
        <v>1191.204</v>
      </c>
      <c r="G44" s="32"/>
    </row>
    <row r="45" spans="1:12" ht="15.75" thickBot="1">
      <c r="A45" s="100" t="s">
        <v>192</v>
      </c>
      <c r="B45" s="100"/>
      <c r="C45" s="100"/>
      <c r="D45" s="200"/>
      <c r="E45" s="200"/>
      <c r="F45" s="201"/>
      <c r="G45" s="32"/>
    </row>
    <row r="46" spans="1:12" ht="15.75" thickBot="1">
      <c r="A46" s="102" t="s">
        <v>83</v>
      </c>
      <c r="B46" s="103" t="s">
        <v>84</v>
      </c>
      <c r="C46" s="103" t="s">
        <v>85</v>
      </c>
      <c r="D46" s="170" t="s">
        <v>86</v>
      </c>
      <c r="E46" s="170" t="s">
        <v>87</v>
      </c>
      <c r="F46" s="171" t="s">
        <v>211</v>
      </c>
      <c r="G46" s="32"/>
    </row>
    <row r="47" spans="1:12">
      <c r="A47" s="110" t="s">
        <v>193</v>
      </c>
      <c r="B47" s="111" t="s">
        <v>194</v>
      </c>
      <c r="C47" s="202">
        <v>1</v>
      </c>
      <c r="D47" s="108">
        <v>180</v>
      </c>
      <c r="E47" s="174">
        <f>+D47*C47</f>
        <v>180</v>
      </c>
      <c r="F47" s="271" t="s">
        <v>293</v>
      </c>
      <c r="G47" s="208"/>
      <c r="H47" s="208"/>
      <c r="I47" s="208"/>
      <c r="J47" s="208"/>
      <c r="K47" s="208"/>
      <c r="L47" s="207"/>
    </row>
    <row r="48" spans="1:12">
      <c r="A48" s="110" t="s">
        <v>195</v>
      </c>
      <c r="B48" s="111" t="s">
        <v>88</v>
      </c>
      <c r="C48" s="111">
        <v>12</v>
      </c>
      <c r="D48" s="204">
        <f>SUM(E47:E47)</f>
        <v>180</v>
      </c>
      <c r="E48" s="204">
        <f>+D48/C48</f>
        <v>15</v>
      </c>
      <c r="F48" s="203"/>
      <c r="G48" s="32"/>
    </row>
    <row r="49" spans="1:11">
      <c r="A49" s="110" t="s">
        <v>196</v>
      </c>
      <c r="B49" s="111" t="s">
        <v>0</v>
      </c>
      <c r="C49" s="202">
        <f>+C47</f>
        <v>1</v>
      </c>
      <c r="D49" s="108">
        <v>100</v>
      </c>
      <c r="E49" s="174">
        <f>C49*D49</f>
        <v>100</v>
      </c>
      <c r="F49" s="271" t="s">
        <v>217</v>
      </c>
      <c r="G49" s="208"/>
      <c r="H49" s="208"/>
      <c r="I49" s="208"/>
      <c r="J49" s="208"/>
      <c r="K49" s="208"/>
    </row>
    <row r="50" spans="1:11" ht="15.75" thickBot="1">
      <c r="A50" s="110" t="s">
        <v>197</v>
      </c>
      <c r="B50" s="111" t="s">
        <v>88</v>
      </c>
      <c r="C50" s="111">
        <v>1</v>
      </c>
      <c r="D50" s="174">
        <f>+E49</f>
        <v>100</v>
      </c>
      <c r="E50" s="174">
        <f>+D50/C50</f>
        <v>100</v>
      </c>
      <c r="F50" s="203"/>
      <c r="G50" s="32"/>
    </row>
    <row r="51" spans="1:11" ht="15.75" thickBot="1">
      <c r="A51" s="100"/>
      <c r="B51" s="100"/>
      <c r="C51" s="100"/>
      <c r="D51" s="178" t="s">
        <v>99</v>
      </c>
      <c r="E51" s="293">
        <f>B1</f>
        <v>0.68179999999999996</v>
      </c>
      <c r="F51" s="195">
        <f>(E48+E50)*E51</f>
        <v>78.406999999999996</v>
      </c>
      <c r="G51" s="32"/>
    </row>
    <row r="52" spans="1:11" ht="15.75" thickBot="1">
      <c r="A52" s="100"/>
      <c r="B52" s="100"/>
      <c r="C52" s="100"/>
      <c r="D52" s="169"/>
      <c r="E52" s="169"/>
      <c r="F52" s="169"/>
      <c r="G52" s="32"/>
    </row>
    <row r="53" spans="1:11" ht="15.75" thickBot="1">
      <c r="A53" s="7" t="s">
        <v>151</v>
      </c>
      <c r="B53" s="205" t="s">
        <v>149</v>
      </c>
      <c r="C53" s="53"/>
      <c r="D53" s="53"/>
      <c r="E53" s="53"/>
      <c r="F53" s="8">
        <f>F13+F29+F34+F44+F51</f>
        <v>12708.821802621211</v>
      </c>
      <c r="G53" s="32"/>
    </row>
  </sheetData>
  <sheetProtection formatCells="0" formatColumns="0" formatRows="0" insertColumns="0" insertRows="0" insertHyperlinks="0" deleteColumns="0" deleteRows="0" sort="0" autoFilter="0" pivotTables="0"/>
  <customSheetViews>
    <customSheetView guid="{89CA7707-C461-45FC-BB82-EE1A90F4B3E3}" topLeftCell="A13">
      <selection activeCell="I34" sqref="I34"/>
      <pageMargins left="0.51181102362204722" right="0.51181102362204722" top="0.78740157480314965" bottom="0.78740157480314965" header="0.31496062992125984" footer="0.31496062992125984"/>
      <pageSetup paperSize="9" scale="85" orientation="portrait" r:id="rId1"/>
      <headerFooter>
        <oddFooter>&amp;C&amp;F&amp;D&amp;T</oddFooter>
      </headerFooter>
    </customSheetView>
  </customSheetViews>
  <mergeCells count="1">
    <mergeCell ref="A3:F3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80" orientation="landscape" r:id="rId2"/>
  <headerFooter>
    <oddHeader>&amp;C&amp;"-,Negrito"&amp;14MUNICIPIO DE CORONEL BARROSPlanilha de Composição de Custos Transporte Escolar - Linha 8 Lado Norte</oddHeader>
    <oddFooter>&amp;L&amp;F   -   &amp;A&amp;C&amp;P&amp;R&amp;D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1"/>
  <sheetViews>
    <sheetView topLeftCell="A7" workbookViewId="0">
      <selection activeCell="C5" sqref="C5"/>
    </sheetView>
  </sheetViews>
  <sheetFormatPr defaultRowHeight="15"/>
  <cols>
    <col min="1" max="1" width="49.28515625" customWidth="1"/>
    <col min="2" max="2" width="8.42578125" customWidth="1"/>
    <col min="3" max="3" width="10.42578125" bestFit="1" customWidth="1"/>
    <col min="4" max="4" width="13.7109375" bestFit="1" customWidth="1"/>
    <col min="5" max="5" width="9.5703125" bestFit="1" customWidth="1"/>
    <col min="6" max="6" width="10.7109375" bestFit="1" customWidth="1"/>
  </cols>
  <sheetData>
    <row r="1" spans="1:8" ht="15.75" thickBot="1"/>
    <row r="2" spans="1:8" ht="15.75" thickBot="1">
      <c r="A2" s="317" t="s">
        <v>176</v>
      </c>
      <c r="B2" s="318"/>
      <c r="C2" s="318"/>
      <c r="D2" s="318"/>
      <c r="E2" s="318"/>
      <c r="F2" s="319"/>
    </row>
    <row r="3" spans="1:8">
      <c r="A3" s="209" t="s">
        <v>130</v>
      </c>
      <c r="B3" s="210" t="s">
        <v>131</v>
      </c>
      <c r="C3" s="211">
        <v>0.05</v>
      </c>
      <c r="D3" s="212"/>
      <c r="E3" s="213"/>
      <c r="F3" s="214"/>
    </row>
    <row r="4" spans="1:8">
      <c r="A4" s="215" t="s">
        <v>132</v>
      </c>
      <c r="B4" s="111" t="s">
        <v>133</v>
      </c>
      <c r="C4" s="216">
        <v>0</v>
      </c>
      <c r="D4" s="212"/>
      <c r="E4" s="213"/>
      <c r="F4" s="214"/>
    </row>
    <row r="5" spans="1:8">
      <c r="A5" s="215" t="s">
        <v>134</v>
      </c>
      <c r="B5" s="111" t="s">
        <v>135</v>
      </c>
      <c r="C5" s="216">
        <v>0.2</v>
      </c>
      <c r="D5" s="212"/>
      <c r="E5" s="213"/>
      <c r="F5" s="214"/>
    </row>
    <row r="6" spans="1:8">
      <c r="A6" s="215" t="s">
        <v>136</v>
      </c>
      <c r="B6" s="111" t="s">
        <v>137</v>
      </c>
      <c r="C6" s="217">
        <f>(1+E6)^(E7/252)-1</f>
        <v>3.9699760272375872E-3</v>
      </c>
      <c r="D6" s="212" t="s">
        <v>138</v>
      </c>
      <c r="E6" s="218">
        <v>0.105</v>
      </c>
      <c r="F6" s="219"/>
      <c r="H6" s="24"/>
    </row>
    <row r="7" spans="1:8" ht="15.75" thickBot="1">
      <c r="A7" s="220" t="s">
        <v>297</v>
      </c>
      <c r="B7" s="221" t="s">
        <v>139</v>
      </c>
      <c r="C7" s="216">
        <v>3.6499999999999998E-2</v>
      </c>
      <c r="D7" s="222" t="s">
        <v>140</v>
      </c>
      <c r="E7" s="223">
        <v>10</v>
      </c>
      <c r="F7" s="224"/>
      <c r="G7" s="18"/>
    </row>
    <row r="8" spans="1:8">
      <c r="A8" s="225" t="s">
        <v>141</v>
      </c>
      <c r="B8" s="226"/>
      <c r="C8" s="227"/>
      <c r="D8" s="228"/>
      <c r="E8" s="229"/>
      <c r="F8" s="224"/>
    </row>
    <row r="9" spans="1:8" ht="15.75" thickBot="1">
      <c r="A9" s="230" t="s">
        <v>142</v>
      </c>
      <c r="B9" s="231"/>
      <c r="C9" s="232"/>
      <c r="D9" s="228"/>
      <c r="E9" s="229"/>
      <c r="F9" s="224"/>
    </row>
    <row r="10" spans="1:8" ht="15.75" thickBot="1">
      <c r="A10" s="233" t="s">
        <v>143</v>
      </c>
      <c r="B10" s="234"/>
      <c r="C10" s="235">
        <f>ROUND((((1+C3+C4)*(1+C5)*(1+C6))/(1-(C7))-1),4)</f>
        <v>0.31290000000000001</v>
      </c>
      <c r="D10" s="236"/>
      <c r="E10" s="237"/>
      <c r="F10" s="238"/>
    </row>
    <row r="13" spans="1:8" ht="15.75" thickBot="1"/>
    <row r="14" spans="1:8" ht="15.75" thickBot="1">
      <c r="A14" s="5" t="s">
        <v>152</v>
      </c>
      <c r="B14" s="205" t="s">
        <v>149</v>
      </c>
      <c r="C14" s="6"/>
      <c r="D14" s="6"/>
      <c r="E14" s="6"/>
      <c r="F14" s="11">
        <f>'Mão de obra'!F27+'Impostos e manutenção'!F53</f>
        <v>16554.115468094384</v>
      </c>
    </row>
    <row r="16" spans="1:8" ht="15.75" thickBot="1">
      <c r="A16" s="239" t="s">
        <v>177</v>
      </c>
    </row>
    <row r="17" spans="1:6" ht="15.75" thickBot="1">
      <c r="A17" s="102" t="s">
        <v>83</v>
      </c>
      <c r="B17" s="103" t="s">
        <v>84</v>
      </c>
      <c r="C17" s="103" t="s">
        <v>85</v>
      </c>
      <c r="D17" s="170" t="s">
        <v>86</v>
      </c>
      <c r="E17" s="170" t="s">
        <v>87</v>
      </c>
      <c r="F17" s="171" t="s">
        <v>211</v>
      </c>
    </row>
    <row r="18" spans="1:6" ht="15.75" thickBot="1">
      <c r="A18" s="106" t="s">
        <v>153</v>
      </c>
      <c r="B18" s="107" t="s">
        <v>94</v>
      </c>
      <c r="C18" s="240">
        <f>C10*100</f>
        <v>31.290000000000003</v>
      </c>
      <c r="D18" s="172">
        <f>+F14</f>
        <v>16554.115468094384</v>
      </c>
      <c r="E18" s="172">
        <f>C18*D18/100</f>
        <v>5179.7827299667333</v>
      </c>
      <c r="F18" s="169"/>
    </row>
    <row r="19" spans="1:6" ht="15.75" thickBot="1">
      <c r="A19" s="100"/>
      <c r="B19" s="100"/>
      <c r="C19" s="100"/>
      <c r="D19" s="169"/>
      <c r="E19" s="169"/>
      <c r="F19" s="195">
        <f>+E18</f>
        <v>5179.7827299667333</v>
      </c>
    </row>
    <row r="20" spans="1:6" ht="15.75" thickBot="1">
      <c r="A20" s="100"/>
      <c r="B20" s="100"/>
      <c r="C20" s="100"/>
      <c r="D20" s="169"/>
      <c r="E20" s="169"/>
      <c r="F20" s="169"/>
    </row>
    <row r="21" spans="1:6" ht="15.75" thickBot="1">
      <c r="A21" s="241" t="s">
        <v>154</v>
      </c>
      <c r="B21" s="242"/>
      <c r="C21" s="242"/>
      <c r="D21" s="243"/>
      <c r="E21" s="244"/>
      <c r="F21" s="245">
        <f>F19</f>
        <v>5179.7827299667333</v>
      </c>
    </row>
  </sheetData>
  <sheetProtection formatCells="0" formatColumns="0" formatRows="0" insertColumns="0" insertRows="0" insertHyperlinks="0" deleteColumns="0" deleteRows="0" sort="0" autoFilter="0" pivotTables="0"/>
  <customSheetViews>
    <customSheetView guid="{89CA7707-C461-45FC-BB82-EE1A90F4B3E3}">
      <selection activeCell="D12" sqref="D12"/>
      <pageMargins left="0.51181102362204722" right="0.51181102362204722" top="0.78740157480314965" bottom="0.78740157480314965" header="0.31496062992125984" footer="0.31496062992125984"/>
      <pageSetup paperSize="9" scale="85" orientation="portrait" verticalDpi="0" r:id="rId1"/>
      <headerFooter>
        <oddFooter>&amp;C&amp;F&amp;D&amp;T</oddFooter>
      </headerFooter>
    </customSheetView>
  </customSheetViews>
  <mergeCells count="1">
    <mergeCell ref="A2:F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85" orientation="landscape" r:id="rId2"/>
  <headerFooter>
    <oddHeader>&amp;C&amp;"-,Negrito"&amp;14MUNICIPIO DE CORONEL BARROSPlanilha de Composição de Custos Transporte Escolar - Linha 8 Lado Norte</oddHeader>
    <oddFooter>&amp;L&amp;F   -  &amp;A&amp;C&amp;P&amp;R&amp;D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G23"/>
  <sheetViews>
    <sheetView workbookViewId="0">
      <selection activeCell="C19" sqref="C19"/>
    </sheetView>
  </sheetViews>
  <sheetFormatPr defaultRowHeight="15"/>
  <cols>
    <col min="1" max="1" width="39.42578125" bestFit="1" customWidth="1"/>
    <col min="2" max="2" width="21.28515625" style="2" customWidth="1"/>
    <col min="3" max="3" width="17.7109375" style="1" customWidth="1"/>
  </cols>
  <sheetData>
    <row r="1" spans="1:3" ht="15.75" thickBot="1">
      <c r="A1" s="304" t="s">
        <v>178</v>
      </c>
      <c r="B1" s="320"/>
      <c r="C1" s="321"/>
    </row>
    <row r="2" spans="1:3">
      <c r="A2" s="12" t="s">
        <v>30</v>
      </c>
      <c r="B2" s="247" t="s">
        <v>144</v>
      </c>
      <c r="C2" s="248" t="s">
        <v>94</v>
      </c>
    </row>
    <row r="3" spans="1:3">
      <c r="A3" s="13" t="s">
        <v>82</v>
      </c>
      <c r="B3" s="3">
        <f>SUM(B4:B5)</f>
        <v>4132.0478366731741</v>
      </c>
      <c r="C3" s="249">
        <f t="shared" ref="C3:C14" si="0">IFERROR(B3/$B$15,0)</f>
        <v>0.17136267219842286</v>
      </c>
    </row>
    <row r="4" spans="1:3">
      <c r="A4" s="246" t="s">
        <v>157</v>
      </c>
      <c r="B4" s="4">
        <f>'Mão de obra'!F17</f>
        <v>3830.2013406731739</v>
      </c>
      <c r="C4" s="14">
        <f t="shared" si="0"/>
        <v>0.15884461234219041</v>
      </c>
    </row>
    <row r="5" spans="1:3">
      <c r="A5" s="246" t="s">
        <v>158</v>
      </c>
      <c r="B5" s="4">
        <f>'Mão de obra'!F24*20</f>
        <v>301.84649600000006</v>
      </c>
      <c r="C5" s="14">
        <f t="shared" si="0"/>
        <v>1.2518059856232441E-2</v>
      </c>
    </row>
    <row r="6" spans="1:3">
      <c r="A6" s="13" t="s">
        <v>159</v>
      </c>
      <c r="B6" s="3">
        <f>SUM(B7:B13)</f>
        <v>14801.051099261213</v>
      </c>
      <c r="C6" s="15">
        <f t="shared" si="0"/>
        <v>0.61382340378636302</v>
      </c>
    </row>
    <row r="7" spans="1:3">
      <c r="A7" s="246" t="s">
        <v>160</v>
      </c>
      <c r="B7" s="4">
        <f>'Remuneração de capital'!F19</f>
        <v>1300.3289600000001</v>
      </c>
      <c r="C7" s="14">
        <f t="shared" si="0"/>
        <v>5.3926734183697388E-2</v>
      </c>
    </row>
    <row r="8" spans="1:3">
      <c r="A8" s="246" t="s">
        <v>161</v>
      </c>
      <c r="B8" s="4">
        <f>'Remuneração de capital'!F32</f>
        <v>791.90033663999998</v>
      </c>
      <c r="C8" s="250">
        <f t="shared" si="0"/>
        <v>3.2841381117871708E-2</v>
      </c>
    </row>
    <row r="9" spans="1:3">
      <c r="A9" s="246" t="s">
        <v>162</v>
      </c>
      <c r="B9" s="4">
        <f>'Impostos e manutenção'!F13</f>
        <v>457.67359049999999</v>
      </c>
      <c r="C9" s="250">
        <f t="shared" si="0"/>
        <v>1.8980460188929321E-2</v>
      </c>
    </row>
    <row r="10" spans="1:3">
      <c r="A10" s="246" t="s">
        <v>163</v>
      </c>
      <c r="B10" s="4">
        <f>'Impostos e manutenção'!F29</f>
        <v>4724.7081212121211</v>
      </c>
      <c r="C10" s="250">
        <f t="shared" si="0"/>
        <v>0.19594124778099409</v>
      </c>
    </row>
    <row r="11" spans="1:3">
      <c r="A11" s="246" t="s">
        <v>164</v>
      </c>
      <c r="B11" s="4">
        <f>'Impostos e manutenção'!F34</f>
        <v>6256.8290909090911</v>
      </c>
      <c r="C11" s="250">
        <f t="shared" si="0"/>
        <v>0.25948076955717386</v>
      </c>
    </row>
    <row r="12" spans="1:3">
      <c r="A12" s="246" t="s">
        <v>165</v>
      </c>
      <c r="B12" s="4">
        <f>'Impostos e manutenção'!F44</f>
        <v>1191.204</v>
      </c>
      <c r="C12" s="250">
        <f t="shared" si="0"/>
        <v>4.9401146511846558E-2</v>
      </c>
    </row>
    <row r="13" spans="1:3">
      <c r="A13" s="246" t="s">
        <v>198</v>
      </c>
      <c r="B13" s="4">
        <f>'Impostos e manutenção'!F51</f>
        <v>78.406999999999996</v>
      </c>
      <c r="C13" s="250">
        <f t="shared" si="0"/>
        <v>3.2516644458500418E-3</v>
      </c>
    </row>
    <row r="14" spans="1:3">
      <c r="A14" s="13" t="s">
        <v>166</v>
      </c>
      <c r="B14" s="3">
        <f>BDI!F21</f>
        <v>5179.7827299667333</v>
      </c>
      <c r="C14" s="249">
        <f t="shared" si="0"/>
        <v>0.21481392401521412</v>
      </c>
    </row>
    <row r="15" spans="1:3" ht="15.75" thickBot="1">
      <c r="A15" s="16" t="s">
        <v>167</v>
      </c>
      <c r="B15" s="17">
        <f>SUM(B3+B6+B14)</f>
        <v>24112.881665901121</v>
      </c>
      <c r="C15" s="251">
        <f>C3+C6+C14</f>
        <v>1</v>
      </c>
    </row>
    <row r="17" spans="1:7">
      <c r="A17" s="18"/>
      <c r="B17" s="277"/>
      <c r="C17" s="272"/>
      <c r="D17" s="273"/>
    </row>
    <row r="18" spans="1:7" ht="15.75" thickBot="1">
      <c r="A18" s="18" t="s">
        <v>183</v>
      </c>
      <c r="B18" s="25">
        <f>'Impostos e manutenção'!B19</f>
        <v>3260</v>
      </c>
    </row>
    <row r="19" spans="1:7" ht="19.5" thickBot="1">
      <c r="A19" s="27" t="s">
        <v>182</v>
      </c>
      <c r="B19" s="28"/>
      <c r="C19" s="29">
        <f>B15/B18+B17</f>
        <v>7.3965894680678286</v>
      </c>
    </row>
    <row r="20" spans="1:7">
      <c r="C20" s="275"/>
    </row>
    <row r="21" spans="1:7">
      <c r="C21" s="276" t="s">
        <v>281</v>
      </c>
      <c r="D21" s="274"/>
    </row>
    <row r="22" spans="1:7">
      <c r="G22" s="273"/>
    </row>
    <row r="23" spans="1:7">
      <c r="G23" s="274"/>
    </row>
  </sheetData>
  <sheetProtection formatCells="0" formatColumns="0" formatRows="0" insertColumns="0" insertRows="0" insertHyperlinks="0" deleteColumns="0" deleteRows="0" sort="0" autoFilter="0" pivotTables="0"/>
  <customSheetViews>
    <customSheetView guid="{89CA7707-C461-45FC-BB82-EE1A90F4B3E3}">
      <selection activeCell="F11" sqref="F11"/>
      <pageMargins left="0.51181102362204722" right="0.51181102362204722" top="0.78740157480314965" bottom="0.78740157480314965" header="0.31496062992125984" footer="0.31496062992125984"/>
      <pageSetup paperSize="9" orientation="portrait" r:id="rId1"/>
      <headerFooter>
        <oddFooter>&amp;C&amp;F&amp;D&amp;T</oddFooter>
      </headerFooter>
    </customSheetView>
  </customSheetViews>
  <mergeCells count="1">
    <mergeCell ref="A1:C1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2"/>
  <headerFooter>
    <oddHeader>&amp;C&amp;"-,Negrito"&amp;14MUNICIPIO DE CORONEL BARROSPlanilha de Composição de Custos Transporte Escolar - Linha 8 Lado Norte</oddHeader>
    <oddFooter>&amp;L&amp;F   -  &amp;A&amp;C&amp;P&amp;R&amp;D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K57"/>
  <sheetViews>
    <sheetView workbookViewId="0">
      <selection activeCell="A23" sqref="A23"/>
    </sheetView>
  </sheetViews>
  <sheetFormatPr defaultRowHeight="15"/>
  <cols>
    <col min="1" max="1" width="22.7109375" bestFit="1" customWidth="1"/>
    <col min="2" max="2" width="8.28515625" style="2" customWidth="1"/>
    <col min="3" max="3" width="21.85546875" style="1" customWidth="1"/>
    <col min="4" max="4" width="26.85546875" customWidth="1"/>
    <col min="5" max="5" width="13.42578125" customWidth="1"/>
  </cols>
  <sheetData>
    <row r="1" spans="1:5" ht="15.75" thickBot="1">
      <c r="A1" s="304" t="s">
        <v>218</v>
      </c>
      <c r="B1" s="320"/>
      <c r="C1" s="321"/>
    </row>
    <row r="3" spans="1:5">
      <c r="A3" s="253" t="s">
        <v>219</v>
      </c>
    </row>
    <row r="4" spans="1:5">
      <c r="A4" s="18" t="s">
        <v>223</v>
      </c>
      <c r="B4" t="s">
        <v>221</v>
      </c>
      <c r="C4" s="2" t="s">
        <v>222</v>
      </c>
      <c r="D4" s="1" t="s">
        <v>220</v>
      </c>
    </row>
    <row r="5" spans="1:5">
      <c r="A5" s="18" t="s">
        <v>224</v>
      </c>
      <c r="B5" s="2" t="s">
        <v>225</v>
      </c>
    </row>
    <row r="6" spans="1:5">
      <c r="A6" s="18" t="s">
        <v>226</v>
      </c>
      <c r="B6" s="322" t="s">
        <v>279</v>
      </c>
      <c r="C6" s="322"/>
      <c r="D6" s="252">
        <f>(30/44)*100%</f>
        <v>0.68181818181818177</v>
      </c>
    </row>
    <row r="8" spans="1:5">
      <c r="A8" s="253" t="s">
        <v>227</v>
      </c>
    </row>
    <row r="9" spans="1:5">
      <c r="A9" s="278" t="s">
        <v>228</v>
      </c>
      <c r="B9" s="279" t="s">
        <v>1</v>
      </c>
      <c r="C9" s="288">
        <v>3263.97</v>
      </c>
      <c r="E9" s="254" t="s">
        <v>240</v>
      </c>
    </row>
    <row r="10" spans="1:5">
      <c r="A10" s="278" t="s">
        <v>229</v>
      </c>
      <c r="B10" s="279" t="s">
        <v>1</v>
      </c>
      <c r="C10" s="289">
        <v>27.67</v>
      </c>
      <c r="D10" t="s">
        <v>230</v>
      </c>
    </row>
    <row r="12" spans="1:5">
      <c r="A12" s="253" t="s">
        <v>231</v>
      </c>
    </row>
    <row r="13" spans="1:5">
      <c r="A13" s="253" t="s">
        <v>238</v>
      </c>
    </row>
    <row r="14" spans="1:5">
      <c r="A14" s="255" t="s">
        <v>232</v>
      </c>
      <c r="B14" s="264">
        <v>20</v>
      </c>
      <c r="C14" s="257" t="s">
        <v>233</v>
      </c>
    </row>
    <row r="15" spans="1:5">
      <c r="A15" s="255" t="s">
        <v>234</v>
      </c>
      <c r="B15" s="264">
        <v>25</v>
      </c>
      <c r="C15" s="257" t="s">
        <v>233</v>
      </c>
    </row>
    <row r="17" spans="1:11">
      <c r="A17" s="253" t="s">
        <v>239</v>
      </c>
    </row>
    <row r="18" spans="1:11">
      <c r="A18" s="255" t="s">
        <v>235</v>
      </c>
      <c r="B18" s="256">
        <v>7</v>
      </c>
      <c r="C18" s="257" t="s">
        <v>2</v>
      </c>
      <c r="D18" s="323" t="s">
        <v>237</v>
      </c>
      <c r="E18" s="324"/>
    </row>
    <row r="19" spans="1:11">
      <c r="A19" s="255" t="s">
        <v>236</v>
      </c>
      <c r="B19" s="256">
        <v>10</v>
      </c>
      <c r="C19" s="257" t="s">
        <v>2</v>
      </c>
      <c r="D19" s="323"/>
      <c r="E19" s="324"/>
    </row>
    <row r="21" spans="1:11">
      <c r="A21" s="253" t="s">
        <v>31</v>
      </c>
    </row>
    <row r="22" spans="1:11">
      <c r="A22" s="278" t="s">
        <v>309</v>
      </c>
      <c r="B22" s="279"/>
      <c r="C22" s="280"/>
      <c r="D22" s="281"/>
      <c r="E22" s="291">
        <v>286080</v>
      </c>
      <c r="F22" s="294" t="s">
        <v>298</v>
      </c>
      <c r="G22" s="282"/>
      <c r="H22" s="282"/>
      <c r="I22" s="282"/>
    </row>
    <row r="23" spans="1:11">
      <c r="A23" s="278" t="s">
        <v>241</v>
      </c>
      <c r="B23" s="290">
        <v>4</v>
      </c>
      <c r="C23" s="280" t="s">
        <v>2</v>
      </c>
      <c r="D23" s="281"/>
    </row>
    <row r="24" spans="1:11">
      <c r="A24" s="278" t="s">
        <v>300</v>
      </c>
      <c r="B24" s="279"/>
      <c r="C24" s="280"/>
      <c r="D24" s="286">
        <v>0.105</v>
      </c>
    </row>
    <row r="25" spans="1:11">
      <c r="A25" s="18" t="s">
        <v>242</v>
      </c>
      <c r="B25" s="139"/>
      <c r="C25" s="1" t="s">
        <v>243</v>
      </c>
    </row>
    <row r="26" spans="1:11">
      <c r="A26" s="278" t="s">
        <v>119</v>
      </c>
      <c r="B26" s="281"/>
      <c r="C26" s="280" t="s">
        <v>280</v>
      </c>
      <c r="D26" s="282"/>
      <c r="E26" s="282"/>
      <c r="F26" s="282"/>
      <c r="G26" s="282"/>
      <c r="H26" s="282"/>
    </row>
    <row r="27" spans="1:11">
      <c r="A27" s="278" t="s">
        <v>244</v>
      </c>
      <c r="B27" s="280"/>
      <c r="C27" s="287">
        <v>94.1</v>
      </c>
      <c r="D27" s="295" t="s">
        <v>282</v>
      </c>
    </row>
    <row r="28" spans="1:11">
      <c r="A28" s="278" t="s">
        <v>245</v>
      </c>
      <c r="B28" s="281"/>
      <c r="C28" s="284">
        <v>3571.41</v>
      </c>
      <c r="D28" t="s">
        <v>285</v>
      </c>
    </row>
    <row r="29" spans="1:11">
      <c r="A29" s="278" t="s">
        <v>246</v>
      </c>
      <c r="B29" s="281"/>
      <c r="C29" s="283" t="s">
        <v>283</v>
      </c>
      <c r="D29" s="283"/>
      <c r="E29" t="s">
        <v>284</v>
      </c>
    </row>
    <row r="30" spans="1:11">
      <c r="A30" s="278" t="s">
        <v>247</v>
      </c>
      <c r="B30" s="281"/>
      <c r="C30" s="284">
        <v>390</v>
      </c>
      <c r="D30" t="s">
        <v>286</v>
      </c>
    </row>
    <row r="31" spans="1:11">
      <c r="A31" s="278" t="s">
        <v>248</v>
      </c>
      <c r="B31" s="281"/>
      <c r="C31" s="280" t="s">
        <v>288</v>
      </c>
      <c r="D31" s="282"/>
      <c r="E31" s="282"/>
      <c r="F31" s="282"/>
      <c r="G31" s="282"/>
      <c r="H31" s="282"/>
      <c r="I31" s="282"/>
      <c r="J31" s="282"/>
      <c r="K31" t="s">
        <v>287</v>
      </c>
    </row>
    <row r="33" spans="1:7">
      <c r="A33" s="253" t="s">
        <v>123</v>
      </c>
    </row>
    <row r="34" spans="1:7">
      <c r="A34" s="278" t="s">
        <v>249</v>
      </c>
      <c r="B34" s="281"/>
      <c r="C34" s="285" t="s">
        <v>301</v>
      </c>
      <c r="D34" s="278" t="s">
        <v>302</v>
      </c>
      <c r="E34" t="s">
        <v>290</v>
      </c>
    </row>
    <row r="35" spans="1:7">
      <c r="A35" s="18"/>
      <c r="B35" s="139"/>
    </row>
    <row r="36" spans="1:7">
      <c r="A36" s="325" t="s">
        <v>251</v>
      </c>
      <c r="B36" s="325"/>
      <c r="C36" s="325"/>
      <c r="D36" s="325"/>
      <c r="E36" s="325"/>
      <c r="F36" s="325"/>
      <c r="G36" s="325"/>
    </row>
    <row r="37" spans="1:7">
      <c r="A37" s="327" t="s">
        <v>252</v>
      </c>
      <c r="B37" s="326" t="s">
        <v>253</v>
      </c>
      <c r="C37" s="326"/>
      <c r="D37" s="326"/>
      <c r="E37" s="326"/>
      <c r="F37" s="326"/>
      <c r="G37" s="326"/>
    </row>
    <row r="38" spans="1:7">
      <c r="A38" s="327"/>
      <c r="B38" s="326" t="s">
        <v>254</v>
      </c>
      <c r="C38" s="326"/>
      <c r="D38" s="326"/>
      <c r="E38" s="326" t="s">
        <v>255</v>
      </c>
      <c r="F38" s="326"/>
      <c r="G38" s="326"/>
    </row>
    <row r="39" spans="1:7">
      <c r="A39" s="258" t="s">
        <v>256</v>
      </c>
      <c r="B39" s="328" t="s">
        <v>261</v>
      </c>
      <c r="C39" s="328"/>
      <c r="D39" s="328"/>
      <c r="E39" s="329" t="s">
        <v>264</v>
      </c>
      <c r="F39" s="330"/>
      <c r="G39" s="331"/>
    </row>
    <row r="40" spans="1:7" ht="30">
      <c r="A40" s="259" t="s">
        <v>257</v>
      </c>
      <c r="B40" s="328" t="s">
        <v>262</v>
      </c>
      <c r="C40" s="328"/>
      <c r="D40" s="328"/>
      <c r="E40" s="329" t="s">
        <v>264</v>
      </c>
      <c r="F40" s="330"/>
      <c r="G40" s="331"/>
    </row>
    <row r="41" spans="1:7" ht="30">
      <c r="A41" s="259" t="s">
        <v>258</v>
      </c>
      <c r="B41" s="328" t="s">
        <v>307</v>
      </c>
      <c r="C41" s="328"/>
      <c r="D41" s="328"/>
      <c r="E41" s="329" t="s">
        <v>265</v>
      </c>
      <c r="F41" s="330"/>
      <c r="G41" s="331"/>
    </row>
    <row r="42" spans="1:7">
      <c r="A42" s="258" t="s">
        <v>259</v>
      </c>
      <c r="B42" s="328" t="s">
        <v>307</v>
      </c>
      <c r="C42" s="328"/>
      <c r="D42" s="328"/>
      <c r="E42" s="329" t="s">
        <v>265</v>
      </c>
      <c r="F42" s="330"/>
      <c r="G42" s="331"/>
    </row>
    <row r="43" spans="1:7">
      <c r="A43" s="258" t="s">
        <v>260</v>
      </c>
      <c r="B43" s="328" t="s">
        <v>263</v>
      </c>
      <c r="C43" s="328"/>
      <c r="D43" s="328"/>
      <c r="E43" s="329" t="s">
        <v>266</v>
      </c>
      <c r="F43" s="330"/>
      <c r="G43" s="331"/>
    </row>
    <row r="45" spans="1:7">
      <c r="A45" s="253" t="s">
        <v>250</v>
      </c>
    </row>
    <row r="47" spans="1:7">
      <c r="A47" s="325" t="s">
        <v>271</v>
      </c>
      <c r="B47" s="325"/>
      <c r="C47" s="325"/>
      <c r="D47" s="325"/>
    </row>
    <row r="48" spans="1:7">
      <c r="A48" s="263" t="s">
        <v>231</v>
      </c>
      <c r="B48" s="332" t="s">
        <v>272</v>
      </c>
      <c r="C48" s="332"/>
    </row>
    <row r="49" spans="1:8" ht="30">
      <c r="A49" s="262" t="s">
        <v>273</v>
      </c>
      <c r="B49" s="333">
        <v>0.8</v>
      </c>
      <c r="C49" s="333"/>
    </row>
    <row r="50" spans="1:8">
      <c r="A50" s="255" t="s">
        <v>274</v>
      </c>
      <c r="B50" s="333">
        <v>0.6</v>
      </c>
      <c r="C50" s="333"/>
    </row>
    <row r="51" spans="1:8">
      <c r="A51" s="255" t="s">
        <v>275</v>
      </c>
      <c r="B51" s="333">
        <v>0.7</v>
      </c>
      <c r="C51" s="333"/>
    </row>
    <row r="53" spans="1:8">
      <c r="A53" s="253" t="s">
        <v>200</v>
      </c>
    </row>
    <row r="54" spans="1:8">
      <c r="A54" s="278" t="s">
        <v>299</v>
      </c>
      <c r="B54" s="281"/>
      <c r="C54" s="292">
        <v>2436</v>
      </c>
      <c r="E54" t="s">
        <v>292</v>
      </c>
    </row>
    <row r="55" spans="1:8">
      <c r="A55" s="278" t="s">
        <v>291</v>
      </c>
      <c r="B55" s="281"/>
      <c r="C55" s="298">
        <v>100</v>
      </c>
      <c r="D55" s="282" t="s">
        <v>289</v>
      </c>
      <c r="H55" s="254" t="s">
        <v>278</v>
      </c>
    </row>
    <row r="56" spans="1:8">
      <c r="A56" s="296" t="s">
        <v>134</v>
      </c>
      <c r="B56" s="279"/>
      <c r="C56" s="297">
        <v>0.2</v>
      </c>
    </row>
    <row r="57" spans="1:8">
      <c r="A57" s="18" t="s">
        <v>276</v>
      </c>
      <c r="B57" s="139"/>
      <c r="C57" s="1" t="s">
        <v>277</v>
      </c>
    </row>
  </sheetData>
  <sheetProtection formatCells="0" formatColumns="0" formatRows="0" insertColumns="0" insertRows="0" insertHyperlinks="0" deleteColumns="0" deleteRows="0" sort="0" autoFilter="0" pivotTables="0"/>
  <mergeCells count="23">
    <mergeCell ref="A47:D47"/>
    <mergeCell ref="B48:C48"/>
    <mergeCell ref="B49:C49"/>
    <mergeCell ref="B50:C50"/>
    <mergeCell ref="B51:C51"/>
    <mergeCell ref="E41:G41"/>
    <mergeCell ref="E42:G42"/>
    <mergeCell ref="E43:G43"/>
    <mergeCell ref="B41:D41"/>
    <mergeCell ref="B42:D42"/>
    <mergeCell ref="B43:D43"/>
    <mergeCell ref="B38:D38"/>
    <mergeCell ref="E38:G38"/>
    <mergeCell ref="A37:A38"/>
    <mergeCell ref="B39:D39"/>
    <mergeCell ref="B40:D40"/>
    <mergeCell ref="E39:G39"/>
    <mergeCell ref="E40:G40"/>
    <mergeCell ref="A1:C1"/>
    <mergeCell ref="B6:C6"/>
    <mergeCell ref="D18:E19"/>
    <mergeCell ref="A36:G36"/>
    <mergeCell ref="B37:G37"/>
  </mergeCells>
  <hyperlinks>
    <hyperlink ref="D27" r:id="rId1"/>
    <hyperlink ref="F22" r:id="rId2"/>
  </hyperlinks>
  <printOptions horizontalCentered="1"/>
  <pageMargins left="0.51181102362204722" right="0.51181102362204722" top="0.78740157480314965" bottom="0.78740157480314965" header="0.31496062992125984" footer="0.31496062992125984"/>
  <pageSetup paperSize="9" scale="80" orientation="landscape" r:id="rId3"/>
  <headerFooter>
    <oddHeader>&amp;C&amp;"-,Negrito"&amp;14MUNICIPIO DE CORONEL BARROSPlanilha de Composição de Custos Transporte Escolar - Linha 8 Lado Norte</oddHeader>
    <oddFooter>&amp;L&amp;F   -  &amp;A&amp;C&amp;P&amp;R&amp;D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CAGED</vt:lpstr>
      <vt:lpstr>Encargos</vt:lpstr>
      <vt:lpstr>Mão de obra</vt:lpstr>
      <vt:lpstr>Remuneração de capital</vt:lpstr>
      <vt:lpstr>Impostos e manutenção</vt:lpstr>
      <vt:lpstr>BDI</vt:lpstr>
      <vt:lpstr>Composição de custos</vt:lpstr>
      <vt:lpstr>Informações Complementares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</dc:creator>
  <cp:lastModifiedBy>User</cp:lastModifiedBy>
  <cp:lastPrinted>2022-10-03T14:54:42Z</cp:lastPrinted>
  <dcterms:created xsi:type="dcterms:W3CDTF">2020-01-13T18:06:35Z</dcterms:created>
  <dcterms:modified xsi:type="dcterms:W3CDTF">2024-08-29T19:32:24Z</dcterms:modified>
</cp:coreProperties>
</file>